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5" windowWidth="7710" windowHeight="3255" tabRatio="929" activeTab="0"/>
  </bookViews>
  <sheets>
    <sheet name="gæld 2005" sheetId="1" r:id="rId1"/>
    <sheet name="beregningsark" sheetId="2" r:id="rId2"/>
    <sheet name="globale indikatorer" sheetId="3" r:id="rId3"/>
    <sheet name="areal" sheetId="4" r:id="rId4"/>
    <sheet name="miljø" sheetId="5" r:id="rId5"/>
    <sheet name="fodaftryk" sheetId="6" r:id="rId6"/>
    <sheet name="undergrund" sheetId="7" state="hidden" r:id="rId7"/>
    <sheet name="a-kraft" sheetId="8" r:id="rId8"/>
    <sheet name="befolkning" sheetId="9" r:id="rId9"/>
    <sheet name="(test 2020)" sheetId="10" state="hidden" r:id="rId10"/>
  </sheets>
  <definedNames>
    <definedName name="_xlnm._FilterDatabase" localSheetId="0" hidden="1">'gæld 2005'!$C$8:$H$13</definedName>
    <definedName name="Z_5921AA0B_94B3_4459_990F_A14E680766A3_.wvu.Cols" localSheetId="7" hidden="1">'a-kraft'!$H:$U</definedName>
    <definedName name="Z_5921AA0B_94B3_4459_990F_A14E680766A3_.wvu.Cols" localSheetId="8" hidden="1">'befolkning'!$J:$L</definedName>
    <definedName name="Z_5921AA0B_94B3_4459_990F_A14E680766A3_.wvu.Cols" localSheetId="1" hidden="1">'beregningsark'!$AL:$BT</definedName>
    <definedName name="Z_5921AA0B_94B3_4459_990F_A14E680766A3_.wvu.Cols" localSheetId="5" hidden="1">'fodaftryk'!$H:$J</definedName>
    <definedName name="Z_5921AA0B_94B3_4459_990F_A14E680766A3_.wvu.Cols" localSheetId="0" hidden="1">'gæld 2005'!$A:$B,'gæld 2005'!$F:$F,'gæld 2005'!$I:$K</definedName>
    <definedName name="Z_5921AA0B_94B3_4459_990F_A14E680766A3_.wvu.FilterData" localSheetId="2" hidden="1">'globale indikatorer'!$AV$92:$AY$93</definedName>
    <definedName name="Z_5921AA0B_94B3_4459_990F_A14E680766A3_.wvu.FilterData" localSheetId="0" hidden="1">'gæld 2005'!$C$8:$H$13</definedName>
    <definedName name="Z_5921AA0B_94B3_4459_990F_A14E680766A3_.wvu.Rows" localSheetId="3" hidden="1">'areal'!$12:$12,'areal'!$14:$14,'areal'!$19:$19</definedName>
    <definedName name="Z_5921AA0B_94B3_4459_990F_A14E680766A3_.wvu.Rows" localSheetId="1" hidden="1">'beregningsark'!$32:$32</definedName>
    <definedName name="Z_5921AA0B_94B3_4459_990F_A14E680766A3_.wvu.Rows" localSheetId="0" hidden="1">'gæld 2005'!$156:$159,'gæld 2005'!$172:$176</definedName>
    <definedName name="Z_5921AA0B_94B3_4459_990F_A14E680766A3_.wvu.Rows" localSheetId="6" hidden="1">'undergrund'!$10:$17</definedName>
    <definedName name="Z_D92FD309_DAF0_4FB2_B2E2_2B307122BBF6_.wvu.Cols" localSheetId="7" hidden="1">'a-kraft'!$H:$U</definedName>
    <definedName name="Z_D92FD309_DAF0_4FB2_B2E2_2B307122BBF6_.wvu.Cols" localSheetId="1" hidden="1">'beregningsark'!$AL:$BT</definedName>
    <definedName name="Z_D92FD309_DAF0_4FB2_B2E2_2B307122BBF6_.wvu.Cols" localSheetId="5" hidden="1">'fodaftryk'!$H:$J</definedName>
    <definedName name="Z_D92FD309_DAF0_4FB2_B2E2_2B307122BBF6_.wvu.Cols" localSheetId="0" hidden="1">'gæld 2005'!$F:$G,'gæld 2005'!$I:$K</definedName>
    <definedName name="Z_D92FD309_DAF0_4FB2_B2E2_2B307122BBF6_.wvu.Cols" localSheetId="4" hidden="1">'miljø'!$E:$E</definedName>
    <definedName name="Z_D92FD309_DAF0_4FB2_B2E2_2B307122BBF6_.wvu.FilterData" localSheetId="2" hidden="1">'globale indikatorer'!$AV$92:$AY$93</definedName>
    <definedName name="Z_D92FD309_DAF0_4FB2_B2E2_2B307122BBF6_.wvu.FilterData" localSheetId="0" hidden="1">'gæld 2005'!$B$8:$H$21</definedName>
    <definedName name="Z_D92FD309_DAF0_4FB2_B2E2_2B307122BBF6_.wvu.Rows" localSheetId="3" hidden="1">'areal'!$12:$12,'areal'!$14:$14,'areal'!$19:$19</definedName>
    <definedName name="Z_D92FD309_DAF0_4FB2_B2E2_2B307122BBF6_.wvu.Rows" localSheetId="1" hidden="1">'beregningsark'!$32:$32</definedName>
    <definedName name="Z_D92FD309_DAF0_4FB2_B2E2_2B307122BBF6_.wvu.Rows" localSheetId="0" hidden="1">'gæld 2005'!$172:$176</definedName>
    <definedName name="Z_D92FD309_DAF0_4FB2_B2E2_2B307122BBF6_.wvu.Rows" localSheetId="6" hidden="1">'undergrund'!$10:$17</definedName>
    <definedName name="Z_DB80EBA5_2B90_4B16_BBF1_1716F7D1927C_.wvu.Cols" localSheetId="7" hidden="1">'a-kraft'!$M:$U</definedName>
    <definedName name="Z_DB80EBA5_2B90_4B16_BBF1_1716F7D1927C_.wvu.Cols" localSheetId="1" hidden="1">'beregningsark'!$AF:$BG</definedName>
    <definedName name="Z_DB80EBA5_2B90_4B16_BBF1_1716F7D1927C_.wvu.Cols" localSheetId="0" hidden="1">'gæld 2005'!$E:$E,'gæld 2005'!$I:$K</definedName>
    <definedName name="Z_DB80EBA5_2B90_4B16_BBF1_1716F7D1927C_.wvu.FilterData" localSheetId="2" hidden="1">'globale indikatorer'!$AV$92:$AY$93</definedName>
    <definedName name="Z_DB80EBA5_2B90_4B16_BBF1_1716F7D1927C_.wvu.Rows" localSheetId="0" hidden="1">'gæld 2005'!$171:$175</definedName>
  </definedNames>
  <calcPr fullCalcOnLoad="1"/>
</workbook>
</file>

<file path=xl/comments1.xml><?xml version="1.0" encoding="utf-8"?>
<comments xmlns="http://schemas.openxmlformats.org/spreadsheetml/2006/main">
  <authors>
    <author>Claus Andersen</author>
  </authors>
  <commentList>
    <comment ref="H7" authorId="0">
      <text>
        <r>
          <rPr>
            <sz val="8"/>
            <rFont val="Tahoma"/>
            <family val="0"/>
          </rPr>
          <t>Andel af de oplistede landes samlede gæld.</t>
        </r>
      </text>
    </comment>
    <comment ref="C160" authorId="0">
      <text>
        <r>
          <rPr>
            <sz val="8"/>
            <rFont val="Tahoma"/>
            <family val="0"/>
          </rPr>
          <t>Gennemsnit af alle lande på listen, dvs. 96% af klodens befolkning (verdens klodeklimagæld pr. menneske).</t>
        </r>
      </text>
    </comment>
  </commentList>
</comments>
</file>

<file path=xl/comments10.xml><?xml version="1.0" encoding="utf-8"?>
<comments xmlns="http://schemas.openxmlformats.org/spreadsheetml/2006/main">
  <authors>
    <author>Claus Andersen</author>
  </authors>
  <commentList>
    <comment ref="A20" authorId="0">
      <text>
        <r>
          <rPr>
            <sz val="8"/>
            <rFont val="Tahoma"/>
            <family val="0"/>
          </rPr>
          <t>Bidrag pga. CO2-overskridelse fra perioden 2000-2019, som ganges med den opdaterede BNP-faktor.</t>
        </r>
      </text>
    </comment>
  </commentList>
</comments>
</file>

<file path=xl/comments2.xml><?xml version="1.0" encoding="utf-8"?>
<comments xmlns="http://schemas.openxmlformats.org/spreadsheetml/2006/main">
  <authors>
    <author>Claus Andersen</author>
    <author>lgr</author>
  </authors>
  <commentList>
    <comment ref="C6" authorId="0">
      <text>
        <r>
          <rPr>
            <sz val="8"/>
            <rFont val="Tahoma"/>
            <family val="0"/>
          </rPr>
          <t>Landets gennemsnitlige, årlige CO</t>
        </r>
        <r>
          <rPr>
            <sz val="8"/>
            <rFont val="Tahoma"/>
            <family val="0"/>
          </rPr>
          <t>2</t>
        </r>
        <r>
          <rPr>
            <sz val="8"/>
            <rFont val="Tahoma"/>
            <family val="0"/>
          </rPr>
          <t>-udledning i ton pr. menneske, i årene 1990-1999 (se også venstre diagram herunder). 
Talrækken mod højre viser den max tilladte CO</t>
        </r>
        <r>
          <rPr>
            <sz val="8"/>
            <rFont val="Tahoma"/>
            <family val="0"/>
          </rPr>
          <t>2</t>
        </r>
        <r>
          <rPr>
            <sz val="8"/>
            <rFont val="Tahoma"/>
            <family val="0"/>
          </rPr>
          <t xml:space="preserve">-udledning i ton pr. menneske, før fradrag og tillæg. 
</t>
        </r>
      </text>
    </comment>
    <comment ref="A5" authorId="0">
      <text>
        <r>
          <rPr>
            <sz val="8"/>
            <rFont val="Tahoma"/>
            <family val="0"/>
          </rPr>
          <t>Grøn Agenda Sydhavn
v/ Claus Andersen 
clausandersen@stubnet.dk</t>
        </r>
      </text>
    </comment>
    <comment ref="A29" authorId="0">
      <text>
        <r>
          <rPr>
            <sz val="8"/>
            <rFont val="Tahoma"/>
            <family val="0"/>
          </rPr>
          <t>Vandrette talværdier fra landelisten kopieres og sættes ind.</t>
        </r>
      </text>
    </comment>
    <comment ref="C19" authorId="0">
      <text>
        <r>
          <rPr>
            <sz val="8"/>
            <rFont val="Tahoma"/>
            <family val="0"/>
          </rPr>
          <t>Prognose ved indtastning af talværdier.</t>
        </r>
      </text>
    </comment>
    <comment ref="A27" authorId="0">
      <text>
        <r>
          <rPr>
            <sz val="8"/>
            <rFont val="Tahoma"/>
            <family val="0"/>
          </rPr>
          <t>De 161 landes samlede klodeklimagæld ses i arket 'præstation', celle E169).
Hvis beregningsforudsætningerne ændres (for det aktuelle land) er den viste andel af den globale klodeklimagæld misvisende.</t>
        </r>
      </text>
    </comment>
    <comment ref="E1" authorId="0">
      <text>
        <r>
          <rPr>
            <sz val="8"/>
            <rFont val="Tahoma"/>
            <family val="0"/>
          </rPr>
          <t xml:space="preserve">Gennemsnittet af de seneste 10 års luftmålinger (1996-2005) ved jordens overflade. Gennemsnittet i perioden 1880-1899 er sat til 0.
Tallet påvirker BNP-faktor (celle D16) og dermed klodeklimagældens størrelse.
</t>
        </r>
      </text>
    </comment>
    <comment ref="H1" authorId="0">
      <text>
        <r>
          <rPr>
            <sz val="8"/>
            <rFont val="Tahoma"/>
            <family val="0"/>
          </rPr>
          <t>Gennemsnittet af de seneste 3 års målinger (2003-2005). 
I 1993 er stigningen skønsmæssigt sat til 14 cm i forhold til 1880.
Tallet påvirker BNP-faktor (celle D16) og dermed klodeklimagældens størrelse.</t>
        </r>
      </text>
    </comment>
    <comment ref="K1" authorId="0">
      <text>
        <r>
          <rPr>
            <sz val="8"/>
            <rFont val="Tahoma"/>
            <family val="0"/>
          </rPr>
          <t>Opgørelse af ppm i atmosfæren i 2005. I 2000 var tallet 369,41 ppm.
Tallet påvirker CO2-målsætningen (celle AC6) og dermed den maximalt tilladte CO2-udledning pr. menneske pr. år.</t>
        </r>
      </text>
    </comment>
    <comment ref="N1" authorId="0">
      <text>
        <r>
          <rPr>
            <sz val="8"/>
            <rFont val="Tahoma"/>
            <family val="0"/>
          </rPr>
          <t>Skønnet tal for 2005. 
I 2000 var der 6,09 mia mennesker. Tallet påvirker CO2-målsætningen (celle AC6) og dermed den maximalt tilladte CO2-udledning pr. menneske pr. år.</t>
        </r>
      </text>
    </comment>
    <comment ref="D6" authorId="1">
      <text>
        <r>
          <rPr>
            <sz val="8"/>
            <rFont val="Tahoma"/>
            <family val="0"/>
          </rPr>
          <t>Landets CO</t>
        </r>
        <r>
          <rPr>
            <sz val="8"/>
            <rFont val="Tahoma"/>
            <family val="0"/>
          </rPr>
          <t>2</t>
        </r>
        <r>
          <rPr>
            <sz val="8"/>
            <rFont val="Tahoma"/>
            <family val="0"/>
          </rPr>
          <t>-udledning i ton pr. menneske (celle C6) plus atomkraft-strøm 1992-1999 (mia kWh) omregnet til ton CO</t>
        </r>
        <r>
          <rPr>
            <sz val="8"/>
            <rFont val="Tahoma"/>
            <family val="0"/>
          </rPr>
          <t>2</t>
        </r>
        <r>
          <rPr>
            <sz val="8"/>
            <rFont val="Tahoma"/>
            <family val="0"/>
          </rPr>
          <t xml:space="preserve"> pr. menneske (celle F29). 
Talrækken mod højre viser den max tilladte CO</t>
        </r>
        <r>
          <rPr>
            <sz val="8"/>
            <rFont val="Tahoma"/>
            <family val="0"/>
          </rPr>
          <t>2</t>
        </r>
        <r>
          <rPr>
            <sz val="8"/>
            <rFont val="Tahoma"/>
            <family val="0"/>
          </rPr>
          <t xml:space="preserve">-udledning i ton pr. menneske før tillæg og fradrag.
</t>
        </r>
      </text>
    </comment>
    <comment ref="D33" authorId="0">
      <text>
        <r>
          <rPr>
            <sz val="8"/>
            <rFont val="Tahoma"/>
            <family val="0"/>
          </rPr>
          <t>Forøgelse af skovarealet giver et tillæg i den max tilladte CO2-udledning (se arket "skov"). 
Opgjort i 2005 (opgøres hvert 5. år).
Størst tal = størst forøgelse af skovarealet.</t>
        </r>
      </text>
    </comment>
    <comment ref="G33" authorId="0">
      <text>
        <r>
          <rPr>
            <sz val="8"/>
            <rFont val="Tahoma"/>
            <family val="0"/>
          </rPr>
          <t>Produceret atomkraft-strøm 1992-1999 i mia kWh, omregnet til ton CO</t>
        </r>
        <r>
          <rPr>
            <sz val="8"/>
            <rFont val="Tahoma"/>
            <family val="0"/>
          </rPr>
          <t>2</t>
        </r>
        <r>
          <rPr>
            <sz val="8"/>
            <rFont val="Tahoma"/>
            <family val="0"/>
          </rPr>
          <t xml:space="preserve"> pr. menneske (omregnet som om </t>
        </r>
        <r>
          <rPr>
            <sz val="8"/>
            <rFont val="Tahoma"/>
            <family val="0"/>
          </rPr>
          <t>strømmen var produceret med olie). Se arket "a-kraft. 
Tallet lægges til CO</t>
        </r>
        <r>
          <rPr>
            <sz val="8"/>
            <rFont val="Tahoma"/>
            <family val="0"/>
          </rPr>
          <t>2</t>
        </r>
        <r>
          <rPr>
            <sz val="8"/>
            <rFont val="Tahoma"/>
            <family val="0"/>
          </rPr>
          <t>-udledningen pr. menneske 1990-1999 (celle D6).</t>
        </r>
      </text>
    </comment>
    <comment ref="H33" authorId="0">
      <text>
        <r>
          <rPr>
            <sz val="8"/>
            <rFont val="Tahoma"/>
            <family val="0"/>
          </rPr>
          <t>Produceret atomkraft-strøm i mia kWh (snit af årene fra 2000 til seneste opgørelse), omregnes til ton CO</t>
        </r>
        <r>
          <rPr>
            <sz val="8"/>
            <rFont val="Tahoma"/>
            <family val="0"/>
          </rPr>
          <t>2</t>
        </r>
        <r>
          <rPr>
            <sz val="8"/>
            <rFont val="Tahoma"/>
            <family val="0"/>
          </rPr>
          <t xml:space="preserve"> pr. menneske (omregnet som om </t>
        </r>
        <r>
          <rPr>
            <sz val="8"/>
            <rFont val="Tahoma"/>
            <family val="0"/>
          </rPr>
          <t>strømmen var produceret med olie). Se arket "a-kraft". 
Størst tal = mest A-kraftstrøm.</t>
        </r>
      </text>
    </comment>
    <comment ref="I33" authorId="0">
      <text>
        <r>
          <rPr>
            <sz val="8"/>
            <rFont val="Tahoma"/>
            <family val="0"/>
          </rPr>
          <t>Bruttunationalprodukt pr. menneske opgjort i ppp-$ (verdensbankens definition). 2006.
Størst tal = rigest.</t>
        </r>
      </text>
    </comment>
    <comment ref="A3" authorId="0">
      <text>
        <r>
          <rPr>
            <sz val="8"/>
            <rFont val="Tahoma"/>
            <family val="0"/>
          </rPr>
          <t xml:space="preserve">Øvelse 1 
Vælg et land fra landelisten, kopier de vandrette celler med tal, og sæt dem ind i række 29. Se auto-ændringerne i beregninger og diagrammer.
Øvelse 2 
Find følgende CO2-opgørelser, opgjort i ton pr. menneske: 
- Landets gennemsnitlige udledning i årene 1990-1999 (celle C6 og venstre diagram).  
- Landets gennemsnitlige udledning fra 2000 til seneste opgørelsesår (venstre diagram).
- Verdens gennemsnitlige udledning i årene 1980-1989, 1990-1999 og 2000 til seneste opgørelsesår (venstre diagram). 
- Landets årlige udledning fra 2000 til seneste opgørelsesår (sorte celler i række 13 og sorte søjler i højre diagram).
Øvelse 3 
Indtast nye tal for CO2 i atmosfæren (ppm, celle K2) eller mennesker på kloden (celle N2) og læs de indlagte kommentarer. Indtastningen påvirker landets CO2-målsætning (celle AC6) og dermed klimanaturgældens størrelse (celle B26).  
Øvelse 4 
Find følgende CO2-beregninger, opgjort i ton pr. menneske: 
- Landets årlige udledning fra 2000 til seneste opgørelsesår (sorte celler i række 13, og sorte søjler i højre diagram). 
- Landets max tilladte årlige udledning i årene 2000-2019 (grønne celler i række 11, og grønne søjler i højre diagram); tallene er inklusive et tillæg/fradrag for ændret arealanvendelse (række 7; læs kommentaren i celle D33), et fradrag for tab af økologisk vitalitet (række 8; læs kommentaren i celle E33), et fradrag for udvinding af udtømmelige resurser i undergrunden (række 9, læs kommentaren i celle F33) og et fradrag for atomkraft-strøm (pga. det radioaktive affald) (række 10; læs kommentaren i celle G33). 
Øvelse 5 
Find følgende økonomi-beregninger:
- Landets velstand opgjort efter GNI (nationalindkomst pr. menneske) (celle H30; læs kommentaren i celle H33). 
- Landets klimagæld (celle B26), og gælden opgjort pr. menneske (celle B24). 
Landets klimagæld (celle B26) vokser med stigende velstand, global temperatur og global vandstand (forenet i GNI-faktor; celle D16). Tast nye værdier for global temperaturstigning (celle E2) og havstigning (celle H2) - landets gæld ændres automatisk. 
Øvelse 6
Indtast nye værdier for tillæg/fradrag (cellerne D30, E30 og G30). Landets tilladte CO2-udledning og klimagæld ændres automatisk.       
</t>
        </r>
      </text>
    </comment>
    <comment ref="J33" authorId="1">
      <text>
        <r>
          <rPr>
            <sz val="8"/>
            <rFont val="Tahoma"/>
            <family val="0"/>
          </rPr>
          <t>Her indtastes landenes afdrag på klimagælden, når verdenssamfundet har oprettet en global fond.</t>
        </r>
      </text>
    </comment>
    <comment ref="E33" authorId="0">
      <text>
        <r>
          <rPr>
            <sz val="8"/>
            <rFont val="Tahoma"/>
            <family val="0"/>
          </rPr>
          <t>Gennemsnitlig miljøpræstation for årene 2006 og 2008. Enkelte lande er skønnet på baggrund af tallet for 2010 (se arket 'miljø')
Landene er gradueret fra 0-100. Størst tal = bedst miljø.</t>
        </r>
      </text>
    </comment>
    <comment ref="A191" authorId="0">
      <text>
        <r>
          <rPr>
            <sz val="8"/>
            <rFont val="Tahoma"/>
            <family val="0"/>
          </rPr>
          <t>CO</t>
        </r>
        <r>
          <rPr>
            <sz val="8"/>
            <rFont val="Tahoma"/>
            <family val="0"/>
          </rPr>
          <t>2</t>
        </r>
        <r>
          <rPr>
            <sz val="8"/>
            <rFont val="Tahoma"/>
            <family val="0"/>
          </rPr>
          <t>-udledningen frem til 2005 er inkl. Montenegro.</t>
        </r>
      </text>
    </comment>
    <comment ref="C191" authorId="0">
      <text>
        <r>
          <rPr>
            <sz val="8"/>
            <rFont val="Tahoma"/>
            <family val="0"/>
          </rPr>
          <t>Inkl. Montenegro.</t>
        </r>
      </text>
    </comment>
    <comment ref="A22" authorId="0">
      <text>
        <r>
          <rPr>
            <sz val="8"/>
            <rFont val="Tahoma"/>
            <family val="0"/>
          </rPr>
          <t>Opdateres når der er oprettet en global fond.</t>
        </r>
      </text>
    </comment>
    <comment ref="D15" authorId="0">
      <text>
        <r>
          <rPr>
            <sz val="8"/>
            <rFont val="Tahoma"/>
            <family val="0"/>
          </rPr>
          <t xml:space="preserve">Bidraget (lyseblå rækker) udregnes ved at CO2-balancen (grå række 13) ganges med BNP-faktor, som er landets BNP (velstand) korrigeret for den stigende globale temperatur- og havstigning (facit divideres med 20.000). 
Eller som formel: BNP-faktor = BNP (celle H29) x global temperaturstigning (celle E2) x havstigning (celle H2) : 20.000.     </t>
        </r>
      </text>
    </comment>
  </commentList>
</comments>
</file>

<file path=xl/comments3.xml><?xml version="1.0" encoding="utf-8"?>
<comments xmlns="http://schemas.openxmlformats.org/spreadsheetml/2006/main">
  <authors>
    <author>Claus Andersen</author>
  </authors>
  <commentList>
    <comment ref="A61" authorId="0">
      <text>
        <r>
          <rPr>
            <sz val="8"/>
            <rFont val="Tahoma"/>
            <family val="0"/>
          </rPr>
          <t xml:space="preserve">1993 er skønsmæssigt sat til 14 cm havstigning siden 1880. </t>
        </r>
      </text>
    </comment>
    <comment ref="A33" authorId="0">
      <text>
        <r>
          <rPr>
            <sz val="8"/>
            <rFont val="Tahoma"/>
            <family val="0"/>
          </rPr>
          <t>Gennemsnitstemperaturen i 1880-1899 er sat til 0</t>
        </r>
        <r>
          <rPr>
            <sz val="8"/>
            <rFont val="Tahoma"/>
            <family val="0"/>
          </rPr>
          <t xml:space="preserve">. </t>
        </r>
      </text>
    </comment>
  </commentList>
</comments>
</file>

<file path=xl/comments4.xml><?xml version="1.0" encoding="utf-8"?>
<comments xmlns="http://schemas.openxmlformats.org/spreadsheetml/2006/main">
  <authors>
    <author>Claus Andersen</author>
    <author>Admin</author>
  </authors>
  <commentList>
    <comment ref="I10" authorId="0">
      <text>
        <r>
          <rPr>
            <sz val="8"/>
            <rFont val="Tahoma"/>
            <family val="0"/>
          </rPr>
          <t xml:space="preserve">&gt;20 tæller 100%
20-30 tæller 50%
&lt;30 tæller 25%
</t>
        </r>
      </text>
    </comment>
    <comment ref="A16" authorId="0">
      <text>
        <r>
          <rPr>
            <sz val="8"/>
            <rFont val="Tahoma"/>
            <family val="0"/>
          </rPr>
          <t xml:space="preserve">Alle de vandrette talværdier kopieres.
</t>
        </r>
      </text>
    </comment>
    <comment ref="A60" authorId="0">
      <text>
        <r>
          <rPr>
            <sz val="8"/>
            <rFont val="Tahoma"/>
            <family val="0"/>
          </rPr>
          <t>Skovareal inkluderer Hong Kong og Macao.</t>
        </r>
      </text>
    </comment>
    <comment ref="C179" authorId="0">
      <text>
        <r>
          <rPr>
            <sz val="8"/>
            <rFont val="Tahoma"/>
            <family val="0"/>
          </rPr>
          <t>Inkl. Montenegro (226.000 mennesker).</t>
        </r>
      </text>
    </comment>
    <comment ref="E179" authorId="0">
      <text>
        <r>
          <rPr>
            <sz val="8"/>
            <rFont val="Tahoma"/>
            <family val="0"/>
          </rPr>
          <t>Inkl. Montenegro (226.000 mennesker).</t>
        </r>
      </text>
    </comment>
    <comment ref="F179" authorId="0">
      <text>
        <r>
          <rPr>
            <sz val="8"/>
            <rFont val="Tahoma"/>
            <family val="0"/>
          </rPr>
          <t>Inkl. Montenegro (226.000 mennesker).</t>
        </r>
      </text>
    </comment>
    <comment ref="B197" authorId="0">
      <text>
        <r>
          <rPr>
            <sz val="8"/>
            <rFont val="Tahoma"/>
            <family val="0"/>
          </rPr>
          <t>Kilde: Wikipedia, 2010.</t>
        </r>
      </text>
    </comment>
    <comment ref="R179" authorId="0">
      <text>
        <r>
          <rPr>
            <sz val="8"/>
            <rFont val="Tahoma"/>
            <family val="0"/>
          </rPr>
          <t>Inkl. Montenegro (226.000 mennesker).</t>
        </r>
      </text>
    </comment>
    <comment ref="T179" authorId="0">
      <text>
        <r>
          <rPr>
            <sz val="8"/>
            <rFont val="Tahoma"/>
            <family val="0"/>
          </rPr>
          <t>Inkl. Montenegro (226.000 mennesker).</t>
        </r>
      </text>
    </comment>
    <comment ref="U179" authorId="0">
      <text>
        <r>
          <rPr>
            <sz val="8"/>
            <rFont val="Tahoma"/>
            <family val="0"/>
          </rPr>
          <t>Inkl. Montenegro (226.000 mennesker).</t>
        </r>
      </text>
    </comment>
    <comment ref="Q197" authorId="0">
      <text>
        <r>
          <rPr>
            <sz val="8"/>
            <rFont val="Tahoma"/>
            <family val="0"/>
          </rPr>
          <t>Kilde: Wikipedia, 2010.</t>
        </r>
      </text>
    </comment>
    <comment ref="A222" authorId="1">
      <text>
        <r>
          <rPr>
            <sz val="8"/>
            <rFont val="Tahoma"/>
            <family val="0"/>
          </rPr>
          <t>Lande med alle data.</t>
        </r>
      </text>
    </comment>
  </commentList>
</comments>
</file>

<file path=xl/comments5.xml><?xml version="1.0" encoding="utf-8"?>
<comments xmlns="http://schemas.openxmlformats.org/spreadsheetml/2006/main">
  <authors>
    <author>Admin</author>
  </authors>
  <commentList>
    <comment ref="B206" authorId="0">
      <text>
        <r>
          <rPr>
            <sz val="8"/>
            <rFont val="Tahoma"/>
            <family val="0"/>
          </rPr>
          <t>Miljøpræstation for et gennemsnits-menneske i lande med data.</t>
        </r>
      </text>
    </comment>
  </commentList>
</comments>
</file>

<file path=xl/comments6.xml><?xml version="1.0" encoding="utf-8"?>
<comments xmlns="http://schemas.openxmlformats.org/spreadsheetml/2006/main">
  <authors>
    <author>lgr</author>
    <author>Admin</author>
  </authors>
  <commentList>
    <comment ref="B11" authorId="0">
      <text>
        <r>
          <rPr>
            <sz val="8"/>
            <rFont val="Tahoma"/>
            <family val="0"/>
          </rPr>
          <t xml:space="preserve">Calculated on the basis of at least one EPI-number (the next).
The trend follows the average of the other countries.    
</t>
        </r>
      </text>
    </comment>
    <comment ref="E11" authorId="0">
      <text>
        <r>
          <rPr>
            <sz val="8"/>
            <rFont val="Tahoma"/>
            <family val="0"/>
          </rPr>
          <t xml:space="preserve">Transferred to the 'calculation sheets. "
The greatest numbers = better environment.
</t>
        </r>
      </text>
    </comment>
    <comment ref="B12" authorId="1">
      <text>
        <r>
          <rPr>
            <sz val="8"/>
            <rFont val="Tahoma"/>
            <family val="0"/>
          </rPr>
          <t xml:space="preserve">Ecological footprint for an average human in countries with data (including estimates).
</t>
        </r>
      </text>
    </comment>
  </commentList>
</comments>
</file>

<file path=xl/comments7.xml><?xml version="1.0" encoding="utf-8"?>
<comments xmlns="http://schemas.openxmlformats.org/spreadsheetml/2006/main">
  <authors>
    <author>Admin</author>
    <author>Claus Andersen</author>
  </authors>
  <commentList>
    <comment ref="B4" authorId="0">
      <text>
        <r>
          <rPr>
            <sz val="8"/>
            <rFont val="Tahoma"/>
            <family val="0"/>
          </rPr>
          <t>Udtømmelige resurser fra undergrunden kan være fossile brændsler, metaller, jordarter, mineraler o.a. 
For at komme på listen skal der være tilgængelige data, og kombinationen af kritisk tømningshorisont og global handelsværdi skal ligge over et bestemt niveau (se celle V3)</t>
        </r>
      </text>
    </comment>
    <comment ref="G4" authorId="0">
      <text>
        <r>
          <rPr>
            <sz val="8"/>
            <rFont val="Tahoma"/>
            <family val="0"/>
          </rPr>
          <t>Justerer faktor-niveauet for alle udtømmelige resurser.
Efter indtastning af nye resurser justeres faktor-niveauet således at "All on list" har samme faktor som før indtastningen.</t>
        </r>
      </text>
    </comment>
    <comment ref="G7" authorId="0">
      <text>
        <r>
          <rPr>
            <sz val="8"/>
            <rFont val="Tahoma"/>
            <family val="0"/>
          </rPr>
          <t xml:space="preserve">Justerer et beløb som lægges til den globale værdi pr. menneske af hver enkelt resurse udvundet siden 2000. Uniktillæget er udtryk for en grundværdi af resursen uanset den globale handelsværdi og tømningshorisont. 
Forøges uniktillægget forårsager det en relativ størst faktor-forøgelse for de resurser som har en beskeden global handelsværdi. 
Eller sagt med andre ord: En forøgelse af unikfaktor giver en større vægtning af et lands forbrug af den global restmængde - og tilsvarende rn mindre vægtning af værdien af den globale produktion.   
1 = tillægget er lig med gennemsnittet af den globale værdi pr. menneske af alle udtømmelige resurser på listen udvundet siden 2000, i nutidspriser.
0 = intet uniktillæg hvilket indebærer at kun den globale handelsværdi og tømningshorisonten bestemmer faktor.
</t>
        </r>
      </text>
    </comment>
    <comment ref="A67" authorId="1">
      <text>
        <r>
          <rPr>
            <sz val="8"/>
            <rFont val="Tahoma"/>
            <family val="0"/>
          </rPr>
          <t>Inklusive Hong Kong og Macao.</t>
        </r>
      </text>
    </comment>
    <comment ref="B204" authorId="1">
      <text>
        <r>
          <rPr>
            <sz val="8"/>
            <rFont val="Tahoma"/>
            <family val="0"/>
          </rPr>
          <t>Kilde: Wikipedia, 2010.</t>
        </r>
      </text>
    </comment>
    <comment ref="C4" authorId="0">
      <text>
        <r>
          <rPr>
            <sz val="8"/>
            <rFont val="Tahoma"/>
            <family val="0"/>
          </rPr>
          <t xml:space="preserve">Prisgennemsnit siden 2000. </t>
        </r>
      </text>
    </comment>
  </commentList>
</comments>
</file>

<file path=xl/comments8.xml><?xml version="1.0" encoding="utf-8"?>
<comments xmlns="http://schemas.openxmlformats.org/spreadsheetml/2006/main">
  <authors>
    <author>Claus Andersen</author>
  </authors>
  <commentList>
    <comment ref="A182" authorId="0">
      <text>
        <r>
          <rPr>
            <sz val="8"/>
            <rFont val="Tahoma"/>
            <family val="0"/>
          </rPr>
          <t xml:space="preserve">Kilde: akraft.dk </t>
        </r>
      </text>
    </comment>
    <comment ref="X6" authorId="0">
      <text>
        <r>
          <rPr>
            <sz val="8"/>
            <rFont val="Tahoma"/>
            <family val="0"/>
          </rPr>
          <t>Landets gennemsnitlige producerede atomkraft-strøm i mia kWh, omregnet til ton CO</t>
        </r>
        <r>
          <rPr>
            <sz val="8"/>
            <rFont val="Tahoma"/>
            <family val="0"/>
          </rPr>
          <t>2</t>
        </r>
        <r>
          <rPr>
            <sz val="8"/>
            <rFont val="Tahoma"/>
            <family val="0"/>
          </rPr>
          <t xml:space="preserve"> pr. menneske (som om strømmen var produceret med olie). 
A-kraft faktor overføres til arket 'beregning'.  
Størst tal = mest atomkraft-strøm pr. menneske.
</t>
        </r>
      </text>
    </comment>
  </commentList>
</comments>
</file>

<file path=xl/comments9.xml><?xml version="1.0" encoding="utf-8"?>
<comments xmlns="http://schemas.openxmlformats.org/spreadsheetml/2006/main">
  <authors>
    <author>Claus Andersen</author>
  </authors>
  <commentList>
    <comment ref="A181" authorId="0">
      <text>
        <r>
          <rPr>
            <sz val="8"/>
            <rFont val="Tahoma"/>
            <family val="0"/>
          </rPr>
          <t xml:space="preserve">Kilder til befolkningstal: www.wikipedia.dk (året 2006) og  www.viden.jp.dk (året 2001). 
</t>
        </r>
      </text>
    </comment>
    <comment ref="D181" authorId="0">
      <text>
        <r>
          <rPr>
            <sz val="8"/>
            <rFont val="Tahoma"/>
            <family val="0"/>
          </rPr>
          <t>Kilde: Wikipedia, 2010.</t>
        </r>
      </text>
    </comment>
    <comment ref="L181" authorId="0">
      <text>
        <r>
          <rPr>
            <sz val="8"/>
            <rFont val="Tahoma"/>
            <family val="0"/>
          </rPr>
          <t>Kilde: Wikipedia, 2010.</t>
        </r>
      </text>
    </comment>
  </commentList>
</comments>
</file>

<file path=xl/sharedStrings.xml><?xml version="1.0" encoding="utf-8"?>
<sst xmlns="http://schemas.openxmlformats.org/spreadsheetml/2006/main" count="2162" uniqueCount="436">
  <si>
    <t>Bahrain</t>
  </si>
  <si>
    <t>Bosnia and Herzegovina</t>
  </si>
  <si>
    <t>Canada</t>
  </si>
  <si>
    <t>Finland</t>
  </si>
  <si>
    <t>Iran</t>
  </si>
  <si>
    <t>Israel</t>
  </si>
  <si>
    <t>Japan</t>
  </si>
  <si>
    <t>Kuwait</t>
  </si>
  <si>
    <t>Luxembourg</t>
  </si>
  <si>
    <t>Malaysia</t>
  </si>
  <si>
    <t>New Zealand</t>
  </si>
  <si>
    <t>Oman</t>
  </si>
  <si>
    <t>Qatar</t>
  </si>
  <si>
    <t>Singapore</t>
  </si>
  <si>
    <t>Turkmenistan</t>
  </si>
  <si>
    <t>Ukraine</t>
  </si>
  <si>
    <t>Iceland</t>
  </si>
  <si>
    <t>Switzerland</t>
  </si>
  <si>
    <t>Costa Rica</t>
  </si>
  <si>
    <t>Sweden</t>
  </si>
  <si>
    <t>Norway</t>
  </si>
  <si>
    <t>Mauritius</t>
  </si>
  <si>
    <t>France</t>
  </si>
  <si>
    <t>Austria</t>
  </si>
  <si>
    <t>Cuba</t>
  </si>
  <si>
    <t>Colombia</t>
  </si>
  <si>
    <t>Malta</t>
  </si>
  <si>
    <t>Slovakia</t>
  </si>
  <si>
    <t>United Kingdom</t>
  </si>
  <si>
    <t>Chile</t>
  </si>
  <si>
    <t>Germany</t>
  </si>
  <si>
    <t>Italy</t>
  </si>
  <si>
    <t>Portugal</t>
  </si>
  <si>
    <t>Latvia</t>
  </si>
  <si>
    <t>Czech Republic</t>
  </si>
  <si>
    <t>Albania</t>
  </si>
  <si>
    <t>Panama</t>
  </si>
  <si>
    <t>Spain</t>
  </si>
  <si>
    <t>Belize</t>
  </si>
  <si>
    <t>Antigua and Barbuda</t>
  </si>
  <si>
    <t>Ecuador</t>
  </si>
  <si>
    <t>Peru</t>
  </si>
  <si>
    <t>Denmark</t>
  </si>
  <si>
    <t>Hungary</t>
  </si>
  <si>
    <t>El Salvador</t>
  </si>
  <si>
    <t>Croatia</t>
  </si>
  <si>
    <t>Dominican Republic</t>
  </si>
  <si>
    <t>Lithuania</t>
  </si>
  <si>
    <t>Nepal</t>
  </si>
  <si>
    <t>Suriname</t>
  </si>
  <si>
    <t>Bhutan</t>
  </si>
  <si>
    <t>Algeria</t>
  </si>
  <si>
    <t>Mexico</t>
  </si>
  <si>
    <t>Ireland</t>
  </si>
  <si>
    <t>Romania</t>
  </si>
  <si>
    <t>Netherlands</t>
  </si>
  <si>
    <t>Maldives</t>
  </si>
  <si>
    <t>Fiji</t>
  </si>
  <si>
    <t>Philippines</t>
  </si>
  <si>
    <t>Australia</t>
  </si>
  <si>
    <t>Morocco</t>
  </si>
  <si>
    <t>Belarus</t>
  </si>
  <si>
    <t>Slovenia</t>
  </si>
  <si>
    <t>Syria</t>
  </si>
  <si>
    <t>Estonia</t>
  </si>
  <si>
    <t>Sri Lanka</t>
  </si>
  <si>
    <t>Georgia</t>
  </si>
  <si>
    <t>Paraguay</t>
  </si>
  <si>
    <t>Brazil</t>
  </si>
  <si>
    <t>Poland</t>
  </si>
  <si>
    <t>Venezuela</t>
  </si>
  <si>
    <t>Bulgaria</t>
  </si>
  <si>
    <t>Thailand</t>
  </si>
  <si>
    <t>Egypt</t>
  </si>
  <si>
    <t>Russia</t>
  </si>
  <si>
    <t>Argentina</t>
  </si>
  <si>
    <t>Greece</t>
  </si>
  <si>
    <t>Macedonia</t>
  </si>
  <si>
    <t>Tunisia</t>
  </si>
  <si>
    <t>Djibouti</t>
  </si>
  <si>
    <t>Armenia</t>
  </si>
  <si>
    <t>Turkey</t>
  </si>
  <si>
    <t>Kyrgyzstan</t>
  </si>
  <si>
    <t>Laos</t>
  </si>
  <si>
    <t>Namibia</t>
  </si>
  <si>
    <t>Guyana</t>
  </si>
  <si>
    <t>Uruguay</t>
  </si>
  <si>
    <t>Azerbaijan</t>
  </si>
  <si>
    <t>Moldova</t>
  </si>
  <si>
    <t>Belgium</t>
  </si>
  <si>
    <t>Jamaica</t>
  </si>
  <si>
    <t>Lebanon</t>
  </si>
  <si>
    <t>Sao Tome and Principe</t>
  </si>
  <si>
    <t>Kazakhstan</t>
  </si>
  <si>
    <t>Nicaragua</t>
  </si>
  <si>
    <t>South Korea</t>
  </si>
  <si>
    <t>Gabon</t>
  </si>
  <si>
    <t>Cyprus</t>
  </si>
  <si>
    <t>Jordan</t>
  </si>
  <si>
    <t>Saudi Arabia</t>
  </si>
  <si>
    <t>Eritrea</t>
  </si>
  <si>
    <t>Swaziland</t>
  </si>
  <si>
    <t>Côte d'Ivoire</t>
  </si>
  <si>
    <t>Trinidad and Tobago</t>
  </si>
  <si>
    <t>Guatemala</t>
  </si>
  <si>
    <t>Dem. Rep. Congo</t>
  </si>
  <si>
    <t>Malawi</t>
  </si>
  <si>
    <t>Kenya</t>
  </si>
  <si>
    <t>Ghana</t>
  </si>
  <si>
    <t>Tajikistan</t>
  </si>
  <si>
    <t>Mozambique</t>
  </si>
  <si>
    <t>Solomon Islands</t>
  </si>
  <si>
    <t>South Africa</t>
  </si>
  <si>
    <t>Gambia</t>
  </si>
  <si>
    <t>Honduras</t>
  </si>
  <si>
    <t>Uganda</t>
  </si>
  <si>
    <t>Madagascar</t>
  </si>
  <si>
    <t>China</t>
  </si>
  <si>
    <t>India</t>
  </si>
  <si>
    <t>Yemen</t>
  </si>
  <si>
    <t>Pakistan</t>
  </si>
  <si>
    <t>Tanzania</t>
  </si>
  <si>
    <t>Zimbabwe</t>
  </si>
  <si>
    <t>Burkina Faso</t>
  </si>
  <si>
    <t>Sudan</t>
  </si>
  <si>
    <t>Zambia</t>
  </si>
  <si>
    <t>Guinea-Bissau</t>
  </si>
  <si>
    <t>Cameroon</t>
  </si>
  <si>
    <t>Indonesia</t>
  </si>
  <si>
    <t>Rwanda</t>
  </si>
  <si>
    <t>Guinea</t>
  </si>
  <si>
    <t>Bolivia</t>
  </si>
  <si>
    <t>Papua New Guinea</t>
  </si>
  <si>
    <t>Bangladesh</t>
  </si>
  <si>
    <t>Burundi</t>
  </si>
  <si>
    <t>Ethiopia</t>
  </si>
  <si>
    <t>Mongolia</t>
  </si>
  <si>
    <t>Senegal</t>
  </si>
  <si>
    <t>Uzbekistan</t>
  </si>
  <si>
    <t>Equatorial Guinea</t>
  </si>
  <si>
    <t>North Korea</t>
  </si>
  <si>
    <t>Cambodia</t>
  </si>
  <si>
    <t>Botswana</t>
  </si>
  <si>
    <t>Iraq</t>
  </si>
  <si>
    <t>Chad</t>
  </si>
  <si>
    <t>United Arab Emirates</t>
  </si>
  <si>
    <t>Nigeria</t>
  </si>
  <si>
    <t>Benin</t>
  </si>
  <si>
    <t>Haiti</t>
  </si>
  <si>
    <t>Mali</t>
  </si>
  <si>
    <t>Niger</t>
  </si>
  <si>
    <t>Togo</t>
  </si>
  <si>
    <t>Angola</t>
  </si>
  <si>
    <t>Mauritania</t>
  </si>
  <si>
    <t>Central African Republic</t>
  </si>
  <si>
    <t>Sierra Leone</t>
  </si>
  <si>
    <t>Befolkningstal</t>
  </si>
  <si>
    <t>cm</t>
  </si>
  <si>
    <t>►</t>
  </si>
  <si>
    <t>Netherlands Antilles</t>
  </si>
  <si>
    <t>Aruba</t>
  </si>
  <si>
    <t>Faeroe Islands</t>
  </si>
  <si>
    <t>New Caledonia</t>
  </si>
  <si>
    <t>Cayman Islands</t>
  </si>
  <si>
    <t>Greenland</t>
  </si>
  <si>
    <t>Bermuda</t>
  </si>
  <si>
    <t>Seychelles</t>
  </si>
  <si>
    <t>Bahamas</t>
  </si>
  <si>
    <t>Guadeloupe</t>
  </si>
  <si>
    <t>Martinique</t>
  </si>
  <si>
    <t>Barbados</t>
  </si>
  <si>
    <t>French Guiana</t>
  </si>
  <si>
    <t>Reunion</t>
  </si>
  <si>
    <t>French Polynesia</t>
  </si>
  <si>
    <t>Saint Kitts and Nevis</t>
  </si>
  <si>
    <t>Saint Lucia</t>
  </si>
  <si>
    <t>Grenada</t>
  </si>
  <si>
    <t>Dominica</t>
  </si>
  <si>
    <t>Tonga</t>
  </si>
  <si>
    <t>Samoa</t>
  </si>
  <si>
    <t>Cape Verde</t>
  </si>
  <si>
    <t>Western Sahara</t>
  </si>
  <si>
    <t>Vanuatu</t>
  </si>
  <si>
    <t>Kiribati</t>
  </si>
  <si>
    <t>Liberia</t>
  </si>
  <si>
    <t>Timor-Leste</t>
  </si>
  <si>
    <t>Comoros</t>
  </si>
  <si>
    <t>Afghanistan</t>
  </si>
  <si>
    <t>Somalia</t>
  </si>
  <si>
    <t>China, Hong Kong</t>
  </si>
  <si>
    <t>China, Macao</t>
  </si>
  <si>
    <t xml:space="preserve">  </t>
  </si>
  <si>
    <t>Taiwan</t>
  </si>
  <si>
    <t>Fradrag for økologisk tab</t>
  </si>
  <si>
    <t>ºC</t>
  </si>
  <si>
    <t>i mill. $</t>
  </si>
  <si>
    <t>million US$</t>
  </si>
  <si>
    <t>Occupied Palestinian Ter.</t>
  </si>
  <si>
    <t>Saint Vincent and the G.</t>
  </si>
  <si>
    <t>Havstigning siden 1880</t>
  </si>
  <si>
    <t>1990-1999</t>
  </si>
  <si>
    <t>Stigning</t>
  </si>
  <si>
    <t>Havstigning</t>
  </si>
  <si>
    <t>Kilder</t>
  </si>
  <si>
    <t>I 2039 flyttes 5-årsboksen til 2059</t>
  </si>
  <si>
    <t>Vietnam</t>
  </si>
  <si>
    <t>Kontakt</t>
  </si>
  <si>
    <t>Global stigning i overfladetemperatur siden 1880-1899</t>
  </si>
  <si>
    <t xml:space="preserve">Stigning i klodens </t>
  </si>
  <si>
    <t>overfladetemperatur</t>
  </si>
  <si>
    <t>(auto-overført)</t>
  </si>
  <si>
    <t>2019-tal</t>
  </si>
  <si>
    <t>Indbetalt</t>
  </si>
  <si>
    <t>↓</t>
  </si>
  <si>
    <t>Bidrag pr. menneske</t>
  </si>
  <si>
    <r>
      <t>Max tilladte CO</t>
    </r>
    <r>
      <rPr>
        <b/>
        <vertAlign val="subscript"/>
        <sz val="10"/>
        <rFont val="Times New Roman"/>
        <family val="1"/>
      </rPr>
      <t>2</t>
    </r>
    <r>
      <rPr>
        <b/>
        <sz val="10"/>
        <rFont val="Times New Roman"/>
        <family val="1"/>
      </rPr>
      <t>-udledning pr. menneske</t>
    </r>
  </si>
  <si>
    <r>
      <t>Ton CO</t>
    </r>
    <r>
      <rPr>
        <vertAlign val="subscript"/>
        <sz val="9"/>
        <color indexed="63"/>
        <rFont val="Times New Roman"/>
        <family val="1"/>
      </rPr>
      <t>2</t>
    </r>
    <r>
      <rPr>
        <sz val="9"/>
        <color indexed="63"/>
        <rFont val="Times New Roman"/>
        <family val="1"/>
      </rPr>
      <t>-overskridelse pr. menneske</t>
    </r>
  </si>
  <si>
    <t>Klodens befolkning</t>
  </si>
  <si>
    <t>ppm:</t>
  </si>
  <si>
    <r>
      <t>o</t>
    </r>
    <r>
      <rPr>
        <sz val="10"/>
        <rFont val="Arial"/>
        <family val="0"/>
      </rPr>
      <t>C:</t>
    </r>
  </si>
  <si>
    <t>cm:</t>
  </si>
  <si>
    <t>mia mennesker:</t>
  </si>
  <si>
    <t>siden 2000</t>
  </si>
  <si>
    <t>Mennesker pr.</t>
  </si>
  <si>
    <t>A-kraft</t>
  </si>
  <si>
    <t>Snit</t>
  </si>
  <si>
    <t>0-100</t>
  </si>
  <si>
    <t>mia</t>
  </si>
  <si>
    <t>mia kWh</t>
  </si>
  <si>
    <t>Mennesker på kloden</t>
  </si>
  <si>
    <t>% flere mennesker siden 2000</t>
  </si>
  <si>
    <r>
      <t>ændring i max tilladte CO</t>
    </r>
    <r>
      <rPr>
        <b/>
        <vertAlign val="subscript"/>
        <sz val="9"/>
        <color indexed="17"/>
        <rFont val="Times New Roman"/>
        <family val="1"/>
      </rPr>
      <t>2</t>
    </r>
    <r>
      <rPr>
        <b/>
        <sz val="9"/>
        <color indexed="17"/>
        <rFont val="Times New Roman"/>
        <family val="1"/>
      </rPr>
      <t>-udledning i 2039 i forhold til 1990-1999</t>
    </r>
  </si>
  <si>
    <t>Fradrag for a-affald</t>
  </si>
  <si>
    <t>Trinidad and T.</t>
  </si>
  <si>
    <t>Bosnia and Herzeg.</t>
  </si>
  <si>
    <t>Central African Rep.</t>
  </si>
  <si>
    <t>Skov</t>
  </si>
  <si>
    <r>
      <t>CO</t>
    </r>
    <r>
      <rPr>
        <b/>
        <vertAlign val="subscript"/>
        <sz val="10"/>
        <color indexed="63"/>
        <rFont val="Times New Roman"/>
        <family val="1"/>
      </rPr>
      <t>2</t>
    </r>
    <r>
      <rPr>
        <b/>
        <sz val="10"/>
        <color indexed="63"/>
        <rFont val="Times New Roman"/>
        <family val="1"/>
      </rPr>
      <t>-udledning indberettet (sort)</t>
    </r>
  </si>
  <si>
    <t>Serbia</t>
  </si>
  <si>
    <t>Montenegro</t>
  </si>
  <si>
    <t>Lande (199)</t>
  </si>
  <si>
    <t>USA</t>
  </si>
  <si>
    <t>Vejledning</t>
  </si>
  <si>
    <t>i procent</t>
  </si>
  <si>
    <t>Præstation</t>
  </si>
  <si>
    <t>United Arab Emirats</t>
  </si>
  <si>
    <t>very poor</t>
  </si>
  <si>
    <t>poor</t>
  </si>
  <si>
    <t>acceptable</t>
  </si>
  <si>
    <t>(global gæld autooverført)</t>
  </si>
  <si>
    <r>
      <t>CO</t>
    </r>
    <r>
      <rPr>
        <b/>
        <vertAlign val="subscript"/>
        <sz val="10"/>
        <color indexed="63"/>
        <rFont val="Times New Roman"/>
        <family val="1"/>
      </rPr>
      <t>2</t>
    </r>
    <r>
      <rPr>
        <b/>
        <sz val="10"/>
        <color indexed="63"/>
        <rFont val="Times New Roman"/>
        <family val="1"/>
      </rPr>
      <t>-udledning indberettet (sorte celler)</t>
    </r>
  </si>
  <si>
    <t>Nr.</t>
  </si>
  <si>
    <t>Andel af global gæld</t>
  </si>
  <si>
    <t>(sum)</t>
  </si>
  <si>
    <t>CO2 i atmosfæren</t>
  </si>
  <si>
    <t>ppm</t>
  </si>
  <si>
    <t>Bidrag i alt pr. menneske</t>
  </si>
  <si>
    <t>Befolkning</t>
  </si>
  <si>
    <t>faktor</t>
  </si>
  <si>
    <r>
      <t>CO</t>
    </r>
    <r>
      <rPr>
        <b/>
        <vertAlign val="subscript"/>
        <sz val="9"/>
        <color indexed="63"/>
        <rFont val="Times New Roman"/>
        <family val="1"/>
      </rPr>
      <t>2</t>
    </r>
  </si>
  <si>
    <r>
      <t>CO</t>
    </r>
    <r>
      <rPr>
        <b/>
        <vertAlign val="subscript"/>
        <sz val="9"/>
        <color indexed="63"/>
        <rFont val="Times New Roman"/>
        <family val="1"/>
      </rPr>
      <t xml:space="preserve">2 </t>
    </r>
    <r>
      <rPr>
        <b/>
        <sz val="9"/>
        <color indexed="63"/>
        <rFont val="Times New Roman"/>
        <family val="1"/>
      </rPr>
      <t>+</t>
    </r>
  </si>
  <si>
    <t>1992-1999</t>
  </si>
  <si>
    <t>Fradrag/tillæg for skovareal</t>
  </si>
  <si>
    <t>Laveste tal overføres til arket 'beregning'.</t>
  </si>
  <si>
    <r>
      <t>CO</t>
    </r>
    <r>
      <rPr>
        <b/>
        <vertAlign val="subscript"/>
        <sz val="8"/>
        <color indexed="18"/>
        <rFont val="Times New Roman"/>
        <family val="1"/>
      </rPr>
      <t>2</t>
    </r>
    <r>
      <rPr>
        <b/>
        <sz val="8"/>
        <color indexed="18"/>
        <rFont val="Times New Roman"/>
        <family val="1"/>
      </rPr>
      <t xml:space="preserve"> i atmosfæren</t>
    </r>
  </si>
  <si>
    <t>Miljø</t>
  </si>
  <si>
    <t>Fradrag for miljøtab</t>
  </si>
  <si>
    <t>Congo (Brazzaville)</t>
  </si>
  <si>
    <t>Libya</t>
  </si>
  <si>
    <t>Brunei</t>
  </si>
  <si>
    <t>Myanmar (Burma)</t>
  </si>
  <si>
    <t>(all on list)</t>
  </si>
  <si>
    <t>Bidrag pr. menneske (US$)</t>
  </si>
  <si>
    <t>Bidrag pr. menneske i US$ (årligt)</t>
  </si>
  <si>
    <t>Bidrag pr. menneske i US$ (total)</t>
  </si>
  <si>
    <t>failure</t>
  </si>
  <si>
    <r>
      <t>Indhold af CO</t>
    </r>
    <r>
      <rPr>
        <b/>
        <vertAlign val="subscript"/>
        <sz val="10"/>
        <rFont val="Times New Roman"/>
        <family val="1"/>
      </rPr>
      <t>2</t>
    </r>
    <r>
      <rPr>
        <b/>
        <sz val="10"/>
        <rFont val="Times New Roman"/>
        <family val="1"/>
      </rPr>
      <t xml:space="preserve">  </t>
    </r>
  </si>
  <si>
    <t>i atmosfæren (ppm)</t>
  </si>
  <si>
    <t>Indsat land fra listen:</t>
  </si>
  <si>
    <r>
      <t>Ton CO</t>
    </r>
    <r>
      <rPr>
        <vertAlign val="subscript"/>
        <sz val="9"/>
        <color indexed="63"/>
        <rFont val="Times New Roman"/>
        <family val="1"/>
      </rPr>
      <t>2</t>
    </r>
  </si>
  <si>
    <r>
      <t>Ton CO</t>
    </r>
    <r>
      <rPr>
        <vertAlign val="subscript"/>
        <sz val="9"/>
        <color indexed="63"/>
        <rFont val="Times New Roman"/>
        <family val="1"/>
      </rPr>
      <t>2</t>
    </r>
  </si>
  <si>
    <r>
      <t>km</t>
    </r>
    <r>
      <rPr>
        <vertAlign val="superscript"/>
        <sz val="9"/>
        <color indexed="63"/>
        <rFont val="Times New Roman"/>
        <family val="1"/>
      </rPr>
      <t>2</t>
    </r>
  </si>
  <si>
    <t>BNP</t>
  </si>
  <si>
    <t>BNP (ppp)</t>
  </si>
  <si>
    <t>*mangler data (gule celler)</t>
  </si>
  <si>
    <t>Montenegro*</t>
  </si>
  <si>
    <t>skjul</t>
  </si>
  <si>
    <t>United States</t>
  </si>
  <si>
    <t>Blå tal = skønnet</t>
  </si>
  <si>
    <r>
      <t>km</t>
    </r>
    <r>
      <rPr>
        <vertAlign val="superscript"/>
        <sz val="9"/>
        <color indexed="63"/>
        <rFont val="Times New Roman"/>
        <family val="1"/>
      </rPr>
      <t>2</t>
    </r>
    <r>
      <rPr>
        <sz val="9"/>
        <color indexed="63"/>
        <rFont val="Times New Roman"/>
        <family val="1"/>
      </rPr>
      <t xml:space="preserve"> i 2010</t>
    </r>
  </si>
  <si>
    <t>Gule celler = mangler data</t>
  </si>
  <si>
    <r>
      <t>Max tilladte CO</t>
    </r>
    <r>
      <rPr>
        <b/>
        <vertAlign val="subscript"/>
        <sz val="10"/>
        <color indexed="63"/>
        <rFont val="Times New Roman"/>
        <family val="1"/>
      </rPr>
      <t>2</t>
    </r>
    <r>
      <rPr>
        <b/>
        <sz val="10"/>
        <color indexed="63"/>
        <rFont val="Times New Roman"/>
        <family val="1"/>
      </rPr>
      <t>-udledning pr. menneske</t>
    </r>
  </si>
  <si>
    <t xml:space="preserve">                      Atomkraft-elproduktion</t>
  </si>
  <si>
    <t>Landets samlede bidrag</t>
  </si>
  <si>
    <t>BNP-faktor</t>
  </si>
  <si>
    <t>Andel af det samlede areal i seneste opgørelse</t>
  </si>
  <si>
    <t>(basistal = 10)</t>
  </si>
  <si>
    <t>Skovareal</t>
  </si>
  <si>
    <t>Miljøtab</t>
  </si>
  <si>
    <t>BNP (ppp-$)</t>
  </si>
  <si>
    <t>Global lufttemperatur</t>
  </si>
  <si>
    <t>Relativ vægtning af variable</t>
  </si>
  <si>
    <t>(beregningseksempel)</t>
  </si>
  <si>
    <t>(kopier af beregningseksempler)</t>
  </si>
  <si>
    <r>
      <t>CO</t>
    </r>
    <r>
      <rPr>
        <vertAlign val="subscript"/>
        <sz val="9"/>
        <color indexed="63"/>
        <rFont val="Times New Roman"/>
        <family val="1"/>
      </rPr>
      <t>2</t>
    </r>
    <r>
      <rPr>
        <sz val="9"/>
        <color indexed="63"/>
        <rFont val="Times New Roman"/>
        <family val="1"/>
      </rPr>
      <t>-målsætning</t>
    </r>
  </si>
  <si>
    <r>
      <t>Ton CO</t>
    </r>
    <r>
      <rPr>
        <vertAlign val="subscript"/>
        <sz val="9"/>
        <color indexed="63"/>
        <rFont val="Times New Roman"/>
        <family val="1"/>
      </rPr>
      <t>2</t>
    </r>
    <r>
      <rPr>
        <sz val="9"/>
        <color indexed="63"/>
        <rFont val="Times New Roman"/>
        <family val="1"/>
      </rPr>
      <t>-overskridelse pr. menneske siden 2000:</t>
    </r>
  </si>
  <si>
    <r>
      <t>CO</t>
    </r>
    <r>
      <rPr>
        <vertAlign val="subscript"/>
        <sz val="9"/>
        <color indexed="63"/>
        <rFont val="Times New Roman"/>
        <family val="1"/>
      </rPr>
      <t>2</t>
    </r>
    <r>
      <rPr>
        <sz val="9"/>
        <color indexed="63"/>
        <rFont val="Times New Roman"/>
        <family val="1"/>
      </rPr>
      <t xml:space="preserve"> i atmosfæren</t>
    </r>
  </si>
  <si>
    <r>
      <t>(balance 2000-2019 i ton CO</t>
    </r>
    <r>
      <rPr>
        <vertAlign val="subscript"/>
        <sz val="8"/>
        <color indexed="23"/>
        <rFont val="Times New Roman"/>
        <family val="1"/>
      </rPr>
      <t>2</t>
    </r>
    <r>
      <rPr>
        <sz val="8"/>
        <color indexed="23"/>
        <rFont val="Times New Roman"/>
        <family val="1"/>
      </rPr>
      <t>)</t>
    </r>
  </si>
  <si>
    <t xml:space="preserve">  (I 2019 flyttes 5-årsboksen til 2039)</t>
  </si>
  <si>
    <r>
      <t>ændring i den tilladte CO</t>
    </r>
    <r>
      <rPr>
        <vertAlign val="subscript"/>
        <sz val="8"/>
        <color indexed="23"/>
        <rFont val="Times New Roman"/>
        <family val="1"/>
      </rPr>
      <t>2</t>
    </r>
    <r>
      <rPr>
        <sz val="8"/>
        <color indexed="23"/>
        <rFont val="Times New Roman"/>
        <family val="1"/>
      </rPr>
      <t>-udledning i 2019 i forhold til 1990-1999</t>
    </r>
  </si>
  <si>
    <r>
      <t>Pris pr. ton CO</t>
    </r>
    <r>
      <rPr>
        <vertAlign val="subscript"/>
        <sz val="8"/>
        <color indexed="18"/>
        <rFont val="Times New Roman"/>
        <family val="1"/>
      </rPr>
      <t>2</t>
    </r>
    <r>
      <rPr>
        <sz val="8"/>
        <color indexed="18"/>
        <rFont val="Times New Roman"/>
        <family val="1"/>
      </rPr>
      <t xml:space="preserve"> siden 2000</t>
    </r>
  </si>
  <si>
    <r>
      <t>Pris pr. ton CO</t>
    </r>
    <r>
      <rPr>
        <vertAlign val="subscript"/>
        <sz val="9"/>
        <color indexed="63"/>
        <rFont val="Times New Roman"/>
        <family val="1"/>
      </rPr>
      <t>2</t>
    </r>
    <r>
      <rPr>
        <sz val="9"/>
        <color indexed="63"/>
        <rFont val="Times New Roman"/>
        <family val="1"/>
      </rPr>
      <t xml:space="preserve"> udledt siden 2000:</t>
    </r>
  </si>
  <si>
    <t>Bidrag betalt (til fond)</t>
  </si>
  <si>
    <t>Klodeklimagæld (resterende)</t>
  </si>
  <si>
    <t>Klodeklimagæld pr. menneske</t>
  </si>
  <si>
    <t xml:space="preserve">Klodeklimagæld: </t>
  </si>
  <si>
    <t>Bidrag betalt til fond</t>
  </si>
  <si>
    <r>
      <t>(CO</t>
    </r>
    <r>
      <rPr>
        <vertAlign val="subscript"/>
        <sz val="10"/>
        <color indexed="22"/>
        <rFont val="Times New Roman"/>
        <family val="1"/>
      </rPr>
      <t>2</t>
    </r>
    <r>
      <rPr>
        <sz val="10"/>
        <color indexed="22"/>
        <rFont val="Times New Roman"/>
        <family val="1"/>
      </rPr>
      <t>-ambitionsniveau)</t>
    </r>
  </si>
  <si>
    <t>Klodeklimagæld</t>
  </si>
  <si>
    <t>Bidrag pr. menneske:</t>
  </si>
  <si>
    <t>Bidrag pr. menneske (overført)</t>
  </si>
  <si>
    <t>Overført CO2</t>
  </si>
  <si>
    <t>Fredning</t>
  </si>
  <si>
    <t>Reservat</t>
  </si>
  <si>
    <t>Havfredning</t>
  </si>
  <si>
    <t>Havreservat</t>
  </si>
  <si>
    <t>Andel af det samlede areal i basisår</t>
  </si>
  <si>
    <r>
      <t>m</t>
    </r>
    <r>
      <rPr>
        <vertAlign val="superscript"/>
        <sz val="8"/>
        <rFont val="Times New Roman"/>
        <family val="1"/>
      </rPr>
      <t>2</t>
    </r>
    <r>
      <rPr>
        <sz val="8"/>
        <rFont val="Times New Roman"/>
        <family val="1"/>
      </rPr>
      <t xml:space="preserve"> pr. menneske i seneste opgørelse</t>
    </r>
  </si>
  <si>
    <t>Arealændring fra basisår til seneste opgørelse</t>
  </si>
  <si>
    <t>Værdifaktor</t>
  </si>
  <si>
    <t>Faktor</t>
  </si>
  <si>
    <t>Landareal</t>
  </si>
  <si>
    <t>Havareal</t>
  </si>
  <si>
    <t>Basisår</t>
  </si>
  <si>
    <t>Seneste</t>
  </si>
  <si>
    <r>
      <t>km</t>
    </r>
    <r>
      <rPr>
        <vertAlign val="superscript"/>
        <sz val="9"/>
        <color indexed="23"/>
        <rFont val="Times New Roman"/>
        <family val="1"/>
      </rPr>
      <t>2</t>
    </r>
  </si>
  <si>
    <t>Grøn Agenda Sydhavn, Kbh., feb. 2012</t>
  </si>
  <si>
    <t>Grøn Agenda Sydhavn, Kbh., jan. 2012</t>
  </si>
  <si>
    <t>Enheder produceret globalt</t>
  </si>
  <si>
    <t>Pris pr. enhed i US$</t>
  </si>
  <si>
    <t>Global markedsværdi</t>
  </si>
  <si>
    <t>Skøn for globale</t>
  </si>
  <si>
    <t>År til global</t>
  </si>
  <si>
    <t>Global værdi af produktion</t>
  </si>
  <si>
    <t>Pris pr. enhed</t>
  </si>
  <si>
    <t>Uniktillæg i procent af</t>
  </si>
  <si>
    <t>Uniktillæg</t>
  </si>
  <si>
    <t>(seneste fem års snit)</t>
  </si>
  <si>
    <t>af produktionen</t>
  </si>
  <si>
    <t>pr. menneske</t>
  </si>
  <si>
    <t>restlagre i 1999</t>
  </si>
  <si>
    <t>tømning</t>
  </si>
  <si>
    <t>inkl. uniktillæg</t>
  </si>
  <si>
    <t>global markedsværdi</t>
  </si>
  <si>
    <t>pr. enhed</t>
  </si>
  <si>
    <t>Divideret med 250</t>
  </si>
  <si>
    <t xml:space="preserve"> inkl. uniktillæg</t>
  </si>
  <si>
    <t xml:space="preserve">                             Kriterier for udtømmelige resurser</t>
  </si>
  <si>
    <t xml:space="preserve">Udtømmelige resurser </t>
  </si>
  <si>
    <t>Markedsværdi pr. menneske</t>
  </si>
  <si>
    <t>Andel</t>
  </si>
  <si>
    <t>Forbrugt af den</t>
  </si>
  <si>
    <t>Faktor-niveau</t>
  </si>
  <si>
    <t>Olie (barrels)</t>
  </si>
  <si>
    <t>Totale verdenshandel (2011)</t>
  </si>
  <si>
    <t>af den globale</t>
  </si>
  <si>
    <t xml:space="preserve"> globale restmængde</t>
  </si>
  <si>
    <t>for udtømmelige</t>
  </si>
  <si>
    <t>Naturgas (1000 cubic feet)</t>
  </si>
  <si>
    <t>Produktionsværdi (seneste år)</t>
  </si>
  <si>
    <t>(indtastes)</t>
  </si>
  <si>
    <t>produktion</t>
  </si>
  <si>
    <t>resurser</t>
  </si>
  <si>
    <t>Kul (1000 ton)</t>
  </si>
  <si>
    <t>Tømningshorisont (år)</t>
  </si>
  <si>
    <t>Olie</t>
  </si>
  <si>
    <t>Medtages hvis &lt;=0</t>
  </si>
  <si>
    <t>Naturgas</t>
  </si>
  <si>
    <t>Kul</t>
  </si>
  <si>
    <t>SUM</t>
  </si>
  <si>
    <t>(overføres til 'Beregning')</t>
  </si>
  <si>
    <t>Indsæt land fra listen:</t>
  </si>
  <si>
    <t>(barrels)</t>
  </si>
  <si>
    <t>(1000 cubic feet)</t>
  </si>
  <si>
    <t>(1000 ton)</t>
  </si>
  <si>
    <r>
      <t>EarthClimatePerformance</t>
    </r>
    <r>
      <rPr>
        <sz val="10"/>
        <rFont val="Times New Roman"/>
        <family val="1"/>
      </rPr>
      <t xml:space="preserve"> - udtømmelige resurser i undergrunden</t>
    </r>
  </si>
  <si>
    <t>Tab i undergrunden</t>
  </si>
  <si>
    <t>Landets samlede bidrag:</t>
  </si>
  <si>
    <t>Fradrag for tab i undergrunden</t>
  </si>
  <si>
    <t>Undergrund</t>
  </si>
  <si>
    <t>Fradrag/tillæg for arealudnyttelse</t>
  </si>
  <si>
    <t>Areal</t>
  </si>
  <si>
    <r>
      <t>EarthClimatePerformance</t>
    </r>
    <r>
      <rPr>
        <b/>
        <sz val="12"/>
        <color indexed="62"/>
        <rFont val="Times New Roman"/>
        <family val="1"/>
      </rPr>
      <t xml:space="preserve"> </t>
    </r>
    <r>
      <rPr>
        <sz val="12"/>
        <color indexed="62"/>
        <rFont val="Times New Roman"/>
        <family val="1"/>
      </rPr>
      <t>(test 2020)</t>
    </r>
  </si>
  <si>
    <t>globale klodeklimagæld</t>
  </si>
  <si>
    <t>2000-2005</t>
  </si>
  <si>
    <t>Areal-</t>
  </si>
  <si>
    <t>restlagre (2005)</t>
  </si>
  <si>
    <t>pr. menneske pr. år</t>
  </si>
  <si>
    <t>pr. år af produktion</t>
  </si>
  <si>
    <t>siden 2000 inkl. uniktillæg</t>
  </si>
  <si>
    <t>pr. menneske siden 2000</t>
  </si>
  <si>
    <t>(revurderet efter 2005)</t>
  </si>
  <si>
    <t>klodeklimagæld</t>
  </si>
  <si>
    <t xml:space="preserve">Klodeklimagæld </t>
  </si>
  <si>
    <t xml:space="preserve">                 Præstation 2005 - samlet klodeklimagæld siden år 2000 i US$</t>
  </si>
  <si>
    <t>(161 lande)</t>
  </si>
  <si>
    <t>(166 lande)</t>
  </si>
  <si>
    <t>(199 lande)</t>
  </si>
  <si>
    <t>(196 lande)</t>
  </si>
  <si>
    <t>**bidrag til fond er fratrukket (violet ramme)</t>
  </si>
  <si>
    <t>World         1990-1999</t>
  </si>
  <si>
    <t>World         2000-2005</t>
  </si>
  <si>
    <t>93 - 161</t>
  </si>
  <si>
    <r>
      <t xml:space="preserve">EarthClimateDept </t>
    </r>
    <r>
      <rPr>
        <sz val="12"/>
        <rFont val="Times New Roman"/>
        <family val="1"/>
      </rPr>
      <t>2005</t>
    </r>
  </si>
  <si>
    <t>Yellow cells = missing data</t>
  </si>
  <si>
    <t>Ecological foodprint (exclucive CO2)</t>
  </si>
  <si>
    <t>blue numbers = estimated</t>
  </si>
  <si>
    <t>Average</t>
  </si>
  <si>
    <t>(152 countries)</t>
  </si>
  <si>
    <t>befolkn.</t>
  </si>
  <si>
    <t>Fodaftryk</t>
  </si>
  <si>
    <t>(145 countries)</t>
  </si>
  <si>
    <t>Fradrag for økologisk fodaftryk</t>
  </si>
  <si>
    <t>(145 lande)</t>
  </si>
  <si>
    <t>Lande (145)</t>
  </si>
  <si>
    <r>
      <t xml:space="preserve">EarthClimateDept - </t>
    </r>
    <r>
      <rPr>
        <sz val="10"/>
        <rFont val="Times New Roman"/>
        <family val="1"/>
      </rPr>
      <t>miljøpræstation</t>
    </r>
  </si>
  <si>
    <r>
      <t xml:space="preserve">EarthClimateDept - </t>
    </r>
    <r>
      <rPr>
        <sz val="12"/>
        <rFont val="Times New Roman"/>
        <family val="1"/>
      </rPr>
      <t>beregning 2000-2005</t>
    </r>
  </si>
  <si>
    <r>
      <t xml:space="preserve">EarthClimateDept - </t>
    </r>
    <r>
      <rPr>
        <sz val="12"/>
        <rFont val="Times New Roman"/>
        <family val="1"/>
      </rPr>
      <t>globale indikatorer: CO</t>
    </r>
    <r>
      <rPr>
        <vertAlign val="subscript"/>
        <sz val="12"/>
        <rFont val="Times New Roman"/>
        <family val="1"/>
      </rPr>
      <t>2</t>
    </r>
    <r>
      <rPr>
        <sz val="12"/>
        <rFont val="Times New Roman"/>
        <family val="1"/>
      </rPr>
      <t>, temperatur, hav og befolkning</t>
    </r>
  </si>
  <si>
    <r>
      <t xml:space="preserve">EarthClimateDept - </t>
    </r>
    <r>
      <rPr>
        <sz val="10"/>
        <rFont val="Times New Roman"/>
        <family val="1"/>
      </rPr>
      <t>arealudnyttelse</t>
    </r>
  </si>
  <si>
    <r>
      <t xml:space="preserve">EarthClimateDept - </t>
    </r>
    <r>
      <rPr>
        <sz val="10"/>
        <rFont val="Times New Roman"/>
        <family val="1"/>
      </rPr>
      <t>økologisk fodaftryk</t>
    </r>
  </si>
  <si>
    <r>
      <t xml:space="preserve">EarthClimateDept - </t>
    </r>
    <r>
      <rPr>
        <sz val="10"/>
        <rFont val="Times New Roman"/>
        <family val="1"/>
      </rPr>
      <t>atomkraft-elproduktion</t>
    </r>
  </si>
  <si>
    <r>
      <t>EarthClimateDept -</t>
    </r>
    <r>
      <rPr>
        <sz val="10"/>
        <rFont val="Times New Roman"/>
        <family val="1"/>
      </rPr>
      <t xml:space="preserve"> befolkningstal</t>
    </r>
  </si>
  <si>
    <r>
      <t xml:space="preserve">EarthClimateDept - </t>
    </r>
    <r>
      <rPr>
        <sz val="12"/>
        <rFont val="Times New Roman"/>
        <family val="1"/>
      </rPr>
      <t>gæld 2005</t>
    </r>
  </si>
  <si>
    <t>Grøn Agenda Sydhavn, Kbh., juni 2012</t>
  </si>
  <si>
    <t>Samlet</t>
  </si>
  <si>
    <t>Andel af den</t>
  </si>
</sst>
</file>

<file path=xl/styles.xml><?xml version="1.0" encoding="utf-8"?>
<styleSheet xmlns="http://schemas.openxmlformats.org/spreadsheetml/2006/main">
  <numFmts count="4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E+00"/>
    <numFmt numFmtId="173" formatCode="0.000"/>
    <numFmt numFmtId="174" formatCode="0.0"/>
    <numFmt numFmtId="175" formatCode="#,##0.0"/>
    <numFmt numFmtId="176" formatCode="[$$-409]#,##0.0"/>
    <numFmt numFmtId="177" formatCode="[$$-409]#,##0"/>
    <numFmt numFmtId="178" formatCode="[$$-409]#,##0.00"/>
    <numFmt numFmtId="179" formatCode="#,##0.000"/>
    <numFmt numFmtId="180" formatCode="#,##0\ [$€-1]"/>
    <numFmt numFmtId="181" formatCode="#,##0.00\ [$€-1]"/>
    <numFmt numFmtId="182" formatCode="0.0%"/>
    <numFmt numFmtId="183" formatCode="#,##0.000000"/>
    <numFmt numFmtId="184" formatCode="[$$-409]#,##0.00000"/>
    <numFmt numFmtId="185" formatCode="0.00000000"/>
    <numFmt numFmtId="186" formatCode="0.0000000"/>
    <numFmt numFmtId="187" formatCode="0.000000"/>
    <numFmt numFmtId="188" formatCode="0.00000"/>
    <numFmt numFmtId="189" formatCode="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0000000000000000"/>
    <numFmt numFmtId="199" formatCode="0.000000000000000000"/>
    <numFmt numFmtId="200" formatCode="_(* #,##0_);_(* \(#,##0\);_(* &quot;-&quot;??_);_(@_)"/>
    <numFmt numFmtId="201" formatCode="_ * #,##0_ ;_ * \-#,##0_ ;_ * &quot;-&quot;??_ ;_ @_ "/>
    <numFmt numFmtId="202" formatCode="[$$-409]#,##0.000"/>
    <numFmt numFmtId="203" formatCode="[$$-409]#,##0.0000"/>
    <numFmt numFmtId="204" formatCode="[$$-409]#,##0.000000"/>
  </numFmts>
  <fonts count="176">
    <font>
      <sz val="10"/>
      <name val="Arial"/>
      <family val="0"/>
    </font>
    <font>
      <u val="single"/>
      <sz val="10"/>
      <color indexed="12"/>
      <name val="Arial"/>
      <family val="2"/>
    </font>
    <font>
      <u val="single"/>
      <sz val="10"/>
      <color indexed="36"/>
      <name val="Arial"/>
      <family val="2"/>
    </font>
    <font>
      <sz val="8"/>
      <name val="Arial"/>
      <family val="2"/>
    </font>
    <font>
      <sz val="10"/>
      <name val="Times New Roman"/>
      <family val="1"/>
    </font>
    <font>
      <b/>
      <sz val="10"/>
      <name val="Times New Roman"/>
      <family val="1"/>
    </font>
    <font>
      <sz val="10"/>
      <color indexed="10"/>
      <name val="Times New Roman"/>
      <family val="1"/>
    </font>
    <font>
      <sz val="10"/>
      <color indexed="8"/>
      <name val="Times New Roman"/>
      <family val="1"/>
    </font>
    <font>
      <b/>
      <sz val="10"/>
      <color indexed="63"/>
      <name val="Times New Roman"/>
      <family val="1"/>
    </font>
    <font>
      <sz val="10"/>
      <color indexed="63"/>
      <name val="Times New Roman"/>
      <family val="1"/>
    </font>
    <font>
      <u val="single"/>
      <sz val="10"/>
      <name val="Times New Roman"/>
      <family val="1"/>
    </font>
    <font>
      <b/>
      <u val="single"/>
      <sz val="10"/>
      <color indexed="10"/>
      <name val="Times New Roman"/>
      <family val="1"/>
    </font>
    <font>
      <sz val="8"/>
      <name val="Times New Roman"/>
      <family val="1"/>
    </font>
    <font>
      <sz val="10"/>
      <color indexed="9"/>
      <name val="Times New Roman"/>
      <family val="1"/>
    </font>
    <font>
      <sz val="10"/>
      <color indexed="23"/>
      <name val="Times New Roman"/>
      <family val="1"/>
    </font>
    <font>
      <sz val="8"/>
      <color indexed="12"/>
      <name val="Times New Roman"/>
      <family val="1"/>
    </font>
    <font>
      <u val="single"/>
      <sz val="8"/>
      <color indexed="12"/>
      <name val="Times New Roman"/>
      <family val="1"/>
    </font>
    <font>
      <sz val="8"/>
      <color indexed="63"/>
      <name val="Times New Roman"/>
      <family val="1"/>
    </font>
    <font>
      <sz val="8"/>
      <color indexed="55"/>
      <name val="Times New Roman"/>
      <family val="1"/>
    </font>
    <font>
      <u val="single"/>
      <sz val="10"/>
      <color indexed="8"/>
      <name val="Times New Roman"/>
      <family val="1"/>
    </font>
    <font>
      <sz val="8"/>
      <color indexed="23"/>
      <name val="Times New Roman"/>
      <family val="1"/>
    </font>
    <font>
      <sz val="10"/>
      <color indexed="23"/>
      <name val="Arial"/>
      <family val="2"/>
    </font>
    <font>
      <b/>
      <u val="single"/>
      <sz val="10"/>
      <color indexed="63"/>
      <name val="Times New Roman"/>
      <family val="1"/>
    </font>
    <font>
      <sz val="9"/>
      <name val="Times New Roman"/>
      <family val="1"/>
    </font>
    <font>
      <sz val="8"/>
      <color indexed="9"/>
      <name val="Times New Roman"/>
      <family val="1"/>
    </font>
    <font>
      <sz val="8"/>
      <color indexed="10"/>
      <name val="Times New Roman"/>
      <family val="1"/>
    </font>
    <font>
      <sz val="10"/>
      <color indexed="58"/>
      <name val="Times New Roman"/>
      <family val="1"/>
    </font>
    <font>
      <sz val="10"/>
      <color indexed="12"/>
      <name val="Times New Roman"/>
      <family val="1"/>
    </font>
    <font>
      <b/>
      <sz val="10"/>
      <color indexed="12"/>
      <name val="Times New Roman"/>
      <family val="1"/>
    </font>
    <font>
      <sz val="10"/>
      <color indexed="10"/>
      <name val="Arial"/>
      <family val="2"/>
    </font>
    <font>
      <b/>
      <u val="single"/>
      <sz val="8"/>
      <color indexed="10"/>
      <name val="Times New Roman"/>
      <family val="1"/>
    </font>
    <font>
      <sz val="10"/>
      <color indexed="55"/>
      <name val="Times New Roman"/>
      <family val="1"/>
    </font>
    <font>
      <b/>
      <sz val="10"/>
      <name val="Arial"/>
      <family val="2"/>
    </font>
    <font>
      <b/>
      <sz val="10"/>
      <color indexed="9"/>
      <name val="Times New Roman"/>
      <family val="1"/>
    </font>
    <font>
      <b/>
      <sz val="10"/>
      <color indexed="17"/>
      <name val="Times New Roman"/>
      <family val="1"/>
    </font>
    <font>
      <u val="single"/>
      <sz val="9"/>
      <color indexed="8"/>
      <name val="Times New Roman"/>
      <family val="1"/>
    </font>
    <font>
      <sz val="9"/>
      <color indexed="23"/>
      <name val="Times New Roman"/>
      <family val="1"/>
    </font>
    <font>
      <sz val="9"/>
      <color indexed="63"/>
      <name val="Times New Roman"/>
      <family val="1"/>
    </font>
    <font>
      <vertAlign val="superscript"/>
      <sz val="10"/>
      <name val="Arial"/>
      <family val="2"/>
    </font>
    <font>
      <sz val="8"/>
      <color indexed="48"/>
      <name val="Times New Roman"/>
      <family val="1"/>
    </font>
    <font>
      <sz val="10"/>
      <color indexed="48"/>
      <name val="Times New Roman"/>
      <family val="1"/>
    </font>
    <font>
      <b/>
      <sz val="10"/>
      <color indexed="10"/>
      <name val="Times New Roman"/>
      <family val="1"/>
    </font>
    <font>
      <sz val="9"/>
      <color indexed="10"/>
      <name val="Times New Roman"/>
      <family val="1"/>
    </font>
    <font>
      <b/>
      <sz val="9"/>
      <color indexed="17"/>
      <name val="Times New Roman"/>
      <family val="1"/>
    </font>
    <font>
      <b/>
      <u val="double"/>
      <sz val="8"/>
      <color indexed="63"/>
      <name val="Times New Roman"/>
      <family val="1"/>
    </font>
    <font>
      <b/>
      <sz val="8"/>
      <color indexed="55"/>
      <name val="Times New Roman"/>
      <family val="1"/>
    </font>
    <font>
      <u val="single"/>
      <sz val="10"/>
      <color indexed="10"/>
      <name val="Times New Roman"/>
      <family val="1"/>
    </font>
    <font>
      <sz val="8"/>
      <color indexed="23"/>
      <name val="Arial Black"/>
      <family val="2"/>
    </font>
    <font>
      <b/>
      <vertAlign val="subscript"/>
      <sz val="10"/>
      <name val="Times New Roman"/>
      <family val="1"/>
    </font>
    <font>
      <b/>
      <vertAlign val="subscript"/>
      <sz val="10"/>
      <color indexed="63"/>
      <name val="Times New Roman"/>
      <family val="1"/>
    </font>
    <font>
      <vertAlign val="subscript"/>
      <sz val="9"/>
      <color indexed="63"/>
      <name val="Times New Roman"/>
      <family val="1"/>
    </font>
    <font>
      <b/>
      <vertAlign val="subscript"/>
      <sz val="9"/>
      <color indexed="17"/>
      <name val="Times New Roman"/>
      <family val="1"/>
    </font>
    <font>
      <sz val="10"/>
      <color indexed="9"/>
      <name val="Arial"/>
      <family val="2"/>
    </font>
    <font>
      <sz val="10"/>
      <color indexed="22"/>
      <name val="Times New Roman"/>
      <family val="1"/>
    </font>
    <font>
      <b/>
      <u val="single"/>
      <sz val="10"/>
      <name val="Times New Roman"/>
      <family val="1"/>
    </font>
    <font>
      <b/>
      <sz val="8"/>
      <color indexed="18"/>
      <name val="Times New Roman"/>
      <family val="1"/>
    </font>
    <font>
      <sz val="8"/>
      <color indexed="18"/>
      <name val="Times New Roman"/>
      <family val="1"/>
    </font>
    <font>
      <u val="single"/>
      <sz val="8"/>
      <color indexed="18"/>
      <name val="Times New Roman"/>
      <family val="1"/>
    </font>
    <font>
      <sz val="10"/>
      <color indexed="50"/>
      <name val="Times New Roman"/>
      <family val="1"/>
    </font>
    <font>
      <sz val="8"/>
      <color indexed="50"/>
      <name val="Times New Roman"/>
      <family val="1"/>
    </font>
    <font>
      <sz val="10"/>
      <name val="Arial Unicode MS"/>
      <family val="2"/>
    </font>
    <font>
      <sz val="9"/>
      <color indexed="9"/>
      <name val="Times New Roman"/>
      <family val="1"/>
    </font>
    <font>
      <u val="single"/>
      <sz val="8"/>
      <color indexed="23"/>
      <name val="Times New Roman"/>
      <family val="1"/>
    </font>
    <font>
      <sz val="8"/>
      <color indexed="8"/>
      <name val="Times New Roman"/>
      <family val="1"/>
    </font>
    <font>
      <b/>
      <sz val="8"/>
      <color indexed="8"/>
      <name val="Times New Roman"/>
      <family val="1"/>
    </font>
    <font>
      <u val="single"/>
      <sz val="8"/>
      <color indexed="8"/>
      <name val="Times New Roman"/>
      <family val="1"/>
    </font>
    <font>
      <u val="double"/>
      <sz val="8"/>
      <color indexed="8"/>
      <name val="Times New Roman"/>
      <family val="1"/>
    </font>
    <font>
      <sz val="10"/>
      <color indexed="8"/>
      <name val="Arial"/>
      <family val="2"/>
    </font>
    <font>
      <u val="double"/>
      <sz val="8"/>
      <color indexed="23"/>
      <name val="Times New Roman"/>
      <family val="1"/>
    </font>
    <font>
      <b/>
      <sz val="9"/>
      <color indexed="23"/>
      <name val="Times New Roman"/>
      <family val="1"/>
    </font>
    <font>
      <b/>
      <u val="single"/>
      <sz val="9"/>
      <color indexed="23"/>
      <name val="Times New Roman"/>
      <family val="1"/>
    </font>
    <font>
      <b/>
      <sz val="12"/>
      <name val="Times New Roman"/>
      <family val="1"/>
    </font>
    <font>
      <sz val="12"/>
      <name val="Times New Roman"/>
      <family val="1"/>
    </font>
    <font>
      <b/>
      <sz val="12"/>
      <color indexed="18"/>
      <name val="Times New Roman"/>
      <family val="1"/>
    </font>
    <font>
      <b/>
      <sz val="12"/>
      <color indexed="63"/>
      <name val="Times New Roman"/>
      <family val="1"/>
    </font>
    <font>
      <b/>
      <sz val="12"/>
      <name val="Arial"/>
      <family val="2"/>
    </font>
    <font>
      <sz val="8"/>
      <color indexed="23"/>
      <name val="Arial"/>
      <family val="2"/>
    </font>
    <font>
      <b/>
      <sz val="9"/>
      <color indexed="63"/>
      <name val="Times New Roman"/>
      <family val="1"/>
    </font>
    <font>
      <b/>
      <vertAlign val="subscript"/>
      <sz val="9"/>
      <color indexed="63"/>
      <name val="Times New Roman"/>
      <family val="1"/>
    </font>
    <font>
      <sz val="10"/>
      <color indexed="18"/>
      <name val="Times New Roman"/>
      <family val="1"/>
    </font>
    <font>
      <b/>
      <sz val="10"/>
      <color indexed="18"/>
      <name val="Times New Roman"/>
      <family val="1"/>
    </font>
    <font>
      <sz val="10"/>
      <color indexed="18"/>
      <name val="Arial"/>
      <family val="2"/>
    </font>
    <font>
      <b/>
      <sz val="9"/>
      <color indexed="18"/>
      <name val="Times New Roman"/>
      <family val="1"/>
    </font>
    <font>
      <b/>
      <sz val="12"/>
      <color indexed="10"/>
      <name val="Times New Roman"/>
      <family val="1"/>
    </font>
    <font>
      <b/>
      <vertAlign val="subscript"/>
      <sz val="8"/>
      <color indexed="18"/>
      <name val="Times New Roman"/>
      <family val="1"/>
    </font>
    <font>
      <u val="double"/>
      <sz val="8"/>
      <color indexed="18"/>
      <name val="Times New Roman"/>
      <family val="1"/>
    </font>
    <font>
      <sz val="10"/>
      <color indexed="63"/>
      <name val="Arial"/>
      <family val="2"/>
    </font>
    <font>
      <sz val="9"/>
      <color indexed="8"/>
      <name val="Times New Roman"/>
      <family val="1"/>
    </font>
    <font>
      <sz val="9"/>
      <name val="Arial"/>
      <family val="2"/>
    </font>
    <font>
      <u val="single"/>
      <sz val="9"/>
      <color indexed="63"/>
      <name val="Times New Roman"/>
      <family val="1"/>
    </font>
    <font>
      <vertAlign val="superscript"/>
      <sz val="9"/>
      <color indexed="63"/>
      <name val="Times New Roman"/>
      <family val="1"/>
    </font>
    <font>
      <sz val="9"/>
      <color indexed="48"/>
      <name val="Times New Roman"/>
      <family val="1"/>
    </font>
    <font>
      <b/>
      <sz val="9"/>
      <color indexed="12"/>
      <name val="Times New Roman"/>
      <family val="1"/>
    </font>
    <font>
      <vertAlign val="superscript"/>
      <sz val="8"/>
      <name val="Times New Roman"/>
      <family val="1"/>
    </font>
    <font>
      <vertAlign val="superscript"/>
      <sz val="9"/>
      <color indexed="23"/>
      <name val="Times New Roman"/>
      <family val="1"/>
    </font>
    <font>
      <vertAlign val="subscript"/>
      <sz val="8"/>
      <color indexed="18"/>
      <name val="Times New Roman"/>
      <family val="1"/>
    </font>
    <font>
      <u val="single"/>
      <sz val="9"/>
      <name val="Times New Roman"/>
      <family val="1"/>
    </font>
    <font>
      <vertAlign val="subscript"/>
      <sz val="8"/>
      <color indexed="23"/>
      <name val="Times New Roman"/>
      <family val="1"/>
    </font>
    <font>
      <b/>
      <sz val="8"/>
      <color indexed="63"/>
      <name val="Times New Roman"/>
      <family val="1"/>
    </font>
    <font>
      <sz val="14"/>
      <color indexed="18"/>
      <name val="Times New Roman"/>
      <family val="1"/>
    </font>
    <font>
      <sz val="14"/>
      <color indexed="8"/>
      <name val="Times New Roman"/>
      <family val="1"/>
    </font>
    <font>
      <vertAlign val="subscript"/>
      <sz val="10"/>
      <color indexed="22"/>
      <name val="Times New Roman"/>
      <family val="1"/>
    </font>
    <font>
      <sz val="9"/>
      <color indexed="63"/>
      <name val="Arial"/>
      <family val="2"/>
    </font>
    <font>
      <sz val="8.5"/>
      <name val="Times New Roman"/>
      <family val="1"/>
    </font>
    <font>
      <u val="single"/>
      <sz val="10"/>
      <color indexed="12"/>
      <name val="Times New Roman"/>
      <family val="1"/>
    </font>
    <font>
      <b/>
      <sz val="9"/>
      <name val="Times New Roman"/>
      <family val="1"/>
    </font>
    <font>
      <b/>
      <u val="single"/>
      <sz val="8"/>
      <name val="Times New Roman"/>
      <family val="1"/>
    </font>
    <font>
      <sz val="9.8"/>
      <name val="Times New Roman"/>
      <family val="1"/>
    </font>
    <font>
      <sz val="8.5"/>
      <color indexed="63"/>
      <name val="Times New Roman"/>
      <family val="1"/>
    </font>
    <font>
      <b/>
      <sz val="12"/>
      <color indexed="62"/>
      <name val="Times New Roman"/>
      <family val="1"/>
    </font>
    <font>
      <sz val="12"/>
      <color indexed="62"/>
      <name val="Times New Roman"/>
      <family val="1"/>
    </font>
    <font>
      <vertAlign val="subscript"/>
      <sz val="12"/>
      <name val="Times New Roman"/>
      <family val="1"/>
    </font>
    <font>
      <b/>
      <sz val="9"/>
      <color indexed="22"/>
      <name val="Times New Roman"/>
      <family val="1"/>
    </font>
    <font>
      <b/>
      <sz val="10"/>
      <color indexed="23"/>
      <name val="Times New Roman"/>
      <family val="1"/>
    </font>
    <font>
      <sz val="8.5"/>
      <color indexed="23"/>
      <name val="Times New Roman"/>
      <family val="1"/>
    </font>
    <font>
      <sz val="8"/>
      <color indexed="51"/>
      <name val="Times New Roman"/>
      <family val="1"/>
    </font>
    <font>
      <sz val="8"/>
      <color indexed="47"/>
      <name val="Times New Roman"/>
      <family val="1"/>
    </font>
    <font>
      <sz val="8"/>
      <color indexed="44"/>
      <name val="Times New Roman"/>
      <family val="1"/>
    </font>
    <font>
      <b/>
      <sz val="8"/>
      <color indexed="19"/>
      <name val="Times New Roman"/>
      <family val="1"/>
    </font>
    <font>
      <sz val="10"/>
      <color indexed="62"/>
      <name val="Times New Roman"/>
      <family val="1"/>
    </font>
    <font>
      <sz val="10"/>
      <color indexed="53"/>
      <name val="Arial"/>
      <family val="2"/>
    </font>
    <font>
      <sz val="10"/>
      <color indexed="53"/>
      <name val="Times New Roman"/>
      <family val="1"/>
    </font>
    <font>
      <sz val="9"/>
      <color indexed="13"/>
      <name val="Times New Roman"/>
      <family val="1"/>
    </font>
    <font>
      <sz val="8"/>
      <color indexed="62"/>
      <name val="Times New Roman"/>
      <family val="1"/>
    </font>
    <font>
      <sz val="10"/>
      <color indexed="62"/>
      <name val="Arial"/>
      <family val="2"/>
    </font>
    <font>
      <u val="single"/>
      <sz val="8"/>
      <color indexed="62"/>
      <name val="Times New Roman"/>
      <family val="1"/>
    </font>
    <font>
      <sz val="9"/>
      <color indexed="47"/>
      <name val="Times New Roman"/>
      <family val="1"/>
    </font>
    <font>
      <u val="single"/>
      <sz val="10"/>
      <color indexed="9"/>
      <name val="Times New Roman"/>
      <family val="1"/>
    </font>
    <font>
      <b/>
      <sz val="10"/>
      <color indexed="52"/>
      <name val="Times New Roman"/>
      <family val="1"/>
    </font>
    <font>
      <sz val="9"/>
      <color indexed="62"/>
      <name val="Times New Roman"/>
      <family val="1"/>
    </font>
    <font>
      <sz val="8"/>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8"/>
      <color indexed="8"/>
      <name val="Arial"/>
      <family val="0"/>
    </font>
    <font>
      <vertAlign val="subscript"/>
      <sz val="10"/>
      <color indexed="8"/>
      <name val="Times New Roman"/>
      <family val="0"/>
    </font>
    <font>
      <sz val="12"/>
      <color indexed="8"/>
      <name val="Arial"/>
      <family val="0"/>
    </font>
    <font>
      <sz val="9.75"/>
      <color indexed="8"/>
      <name val="Arial"/>
      <family val="0"/>
    </font>
    <font>
      <b/>
      <sz val="12"/>
      <color indexed="23"/>
      <name val="Times New Roman"/>
      <family val="0"/>
    </font>
    <font>
      <sz val="14.25"/>
      <color indexed="8"/>
      <name val="Arial"/>
      <family val="0"/>
    </font>
    <font>
      <b/>
      <vertAlign val="superscript"/>
      <sz val="12"/>
      <color indexed="23"/>
      <name val="Times New Roman"/>
      <family val="0"/>
    </font>
    <font>
      <sz val="11.75"/>
      <color indexed="8"/>
      <name val="Arial"/>
      <family val="0"/>
    </font>
    <font>
      <b/>
      <vertAlign val="subscript"/>
      <sz val="12"/>
      <color indexed="23"/>
      <name val="Times New Roman"/>
      <family val="0"/>
    </font>
    <font>
      <sz val="9.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50"/>
        <bgColor indexed="64"/>
      </patternFill>
    </fill>
    <fill>
      <patternFill patternType="solid">
        <fgColor indexed="8"/>
        <bgColor indexed="64"/>
      </patternFill>
    </fill>
    <fill>
      <patternFill patternType="solid">
        <fgColor indexed="13"/>
        <bgColor indexed="64"/>
      </patternFill>
    </fill>
    <fill>
      <patternFill patternType="solid">
        <fgColor indexed="10"/>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theme="2" tint="-0.09996999800205231"/>
        <bgColor indexed="64"/>
      </patternFill>
    </fill>
    <fill>
      <patternFill patternType="solid">
        <fgColor theme="0" tint="-0.1499900072813034"/>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color indexed="63"/>
      </top>
      <bottom style="thin">
        <color indexed="23"/>
      </bottom>
    </border>
    <border>
      <left>
        <color indexed="63"/>
      </left>
      <right>
        <color indexed="63"/>
      </right>
      <top>
        <color indexed="63"/>
      </top>
      <bottom style="thin">
        <color indexed="23"/>
      </bottom>
    </border>
    <border>
      <left style="medium">
        <color indexed="16"/>
      </left>
      <right style="medium">
        <color indexed="16"/>
      </right>
      <top style="medium">
        <color indexed="16"/>
      </top>
      <bottom style="medium">
        <color indexed="16"/>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style="thin">
        <color indexed="23"/>
      </bottom>
    </border>
    <border>
      <left style="thin">
        <color indexed="10"/>
      </left>
      <right style="thin">
        <color indexed="10"/>
      </right>
      <top style="thin">
        <color indexed="10"/>
      </top>
      <bottom style="thin">
        <color indexed="1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8" fillId="2" borderId="0" applyNumberFormat="0" applyBorder="0" applyAlignment="0" applyProtection="0"/>
    <xf numFmtId="0" fontId="158" fillId="3" borderId="0" applyNumberFormat="0" applyBorder="0" applyAlignment="0" applyProtection="0"/>
    <xf numFmtId="0" fontId="158" fillId="4" borderId="0" applyNumberFormat="0" applyBorder="0" applyAlignment="0" applyProtection="0"/>
    <xf numFmtId="0" fontId="158" fillId="5" borderId="0" applyNumberFormat="0" applyBorder="0" applyAlignment="0" applyProtection="0"/>
    <xf numFmtId="0" fontId="158" fillId="6" borderId="0" applyNumberFormat="0" applyBorder="0" applyAlignment="0" applyProtection="0"/>
    <xf numFmtId="0" fontId="158" fillId="7" borderId="0" applyNumberFormat="0" applyBorder="0" applyAlignment="0" applyProtection="0"/>
    <xf numFmtId="0" fontId="158" fillId="8" borderId="0" applyNumberFormat="0" applyBorder="0" applyAlignment="0" applyProtection="0"/>
    <xf numFmtId="0" fontId="158" fillId="9" borderId="0" applyNumberFormat="0" applyBorder="0" applyAlignment="0" applyProtection="0"/>
    <xf numFmtId="0" fontId="158" fillId="10" borderId="0" applyNumberFormat="0" applyBorder="0" applyAlignment="0" applyProtection="0"/>
    <xf numFmtId="0" fontId="158" fillId="11" borderId="0" applyNumberFormat="0" applyBorder="0" applyAlignment="0" applyProtection="0"/>
    <xf numFmtId="0" fontId="158" fillId="12" borderId="0" applyNumberFormat="0" applyBorder="0" applyAlignment="0" applyProtection="0"/>
    <xf numFmtId="0" fontId="158" fillId="13" borderId="0" applyNumberFormat="0" applyBorder="0" applyAlignment="0" applyProtection="0"/>
    <xf numFmtId="0" fontId="159" fillId="14" borderId="0" applyNumberFormat="0" applyBorder="0" applyAlignment="0" applyProtection="0"/>
    <xf numFmtId="0" fontId="159" fillId="15" borderId="0" applyNumberFormat="0" applyBorder="0" applyAlignment="0" applyProtection="0"/>
    <xf numFmtId="0" fontId="159" fillId="16" borderId="0" applyNumberFormat="0" applyBorder="0" applyAlignment="0" applyProtection="0"/>
    <xf numFmtId="0" fontId="159" fillId="17" borderId="0" applyNumberFormat="0" applyBorder="0" applyAlignment="0" applyProtection="0"/>
    <xf numFmtId="0" fontId="159" fillId="18" borderId="0" applyNumberFormat="0" applyBorder="0" applyAlignment="0" applyProtection="0"/>
    <xf numFmtId="0" fontId="159" fillId="19" borderId="0" applyNumberFormat="0" applyBorder="0" applyAlignment="0" applyProtection="0"/>
    <xf numFmtId="0" fontId="160"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161" fillId="21" borderId="2" applyNumberFormat="0" applyAlignment="0" applyProtection="0"/>
    <xf numFmtId="0" fontId="2" fillId="0" borderId="0" applyNumberFormat="0" applyFill="0" applyBorder="0" applyAlignment="0" applyProtection="0"/>
    <xf numFmtId="0" fontId="162" fillId="0" borderId="0" applyNumberFormat="0" applyFill="0" applyBorder="0" applyAlignment="0" applyProtection="0"/>
    <xf numFmtId="0" fontId="163" fillId="22" borderId="0" applyNumberFormat="0" applyBorder="0" applyAlignment="0" applyProtection="0"/>
    <xf numFmtId="0" fontId="1" fillId="0" borderId="0" applyNumberFormat="0" applyFill="0" applyBorder="0" applyAlignment="0" applyProtection="0"/>
    <xf numFmtId="0" fontId="164" fillId="23" borderId="2" applyNumberFormat="0" applyAlignment="0" applyProtection="0"/>
    <xf numFmtId="0" fontId="165" fillId="24" borderId="3" applyNumberFormat="0" applyAlignment="0" applyProtection="0"/>
    <xf numFmtId="0" fontId="159" fillId="25" borderId="0" applyNumberFormat="0" applyBorder="0" applyAlignment="0" applyProtection="0"/>
    <xf numFmtId="0" fontId="159" fillId="26" borderId="0" applyNumberFormat="0" applyBorder="0" applyAlignment="0" applyProtection="0"/>
    <xf numFmtId="0" fontId="159" fillId="27" borderId="0" applyNumberFormat="0" applyBorder="0" applyAlignment="0" applyProtection="0"/>
    <xf numFmtId="0" fontId="159" fillId="28" borderId="0" applyNumberFormat="0" applyBorder="0" applyAlignment="0" applyProtection="0"/>
    <xf numFmtId="0" fontId="159" fillId="29" borderId="0" applyNumberFormat="0" applyBorder="0" applyAlignment="0" applyProtection="0"/>
    <xf numFmtId="0" fontId="159" fillId="30" borderId="0" applyNumberFormat="0" applyBorder="0" applyAlignment="0" applyProtection="0"/>
    <xf numFmtId="0" fontId="166" fillId="31" borderId="0" applyNumberFormat="0" applyBorder="0" applyAlignment="0" applyProtection="0"/>
    <xf numFmtId="0" fontId="0" fillId="0" borderId="0">
      <alignment/>
      <protection/>
    </xf>
    <xf numFmtId="0" fontId="167" fillId="21" borderId="4" applyNumberFormat="0" applyAlignment="0" applyProtection="0"/>
    <xf numFmtId="0" fontId="168" fillId="0" borderId="5" applyNumberFormat="0" applyFill="0" applyAlignment="0" applyProtection="0"/>
    <xf numFmtId="0" fontId="169" fillId="0" borderId="6" applyNumberFormat="0" applyFill="0" applyAlignment="0" applyProtection="0"/>
    <xf numFmtId="0" fontId="170" fillId="0" borderId="7" applyNumberFormat="0" applyFill="0" applyAlignment="0" applyProtection="0"/>
    <xf numFmtId="0" fontId="170" fillId="0" borderId="0" applyNumberFormat="0" applyFill="0" applyBorder="0" applyAlignment="0" applyProtection="0"/>
    <xf numFmtId="9" fontId="0" fillId="0" borderId="0" applyFont="0" applyFill="0" applyBorder="0" applyAlignment="0" applyProtection="0"/>
    <xf numFmtId="0" fontId="171" fillId="0" borderId="8" applyNumberFormat="0" applyFill="0" applyAlignment="0" applyProtection="0"/>
    <xf numFmtId="0" fontId="172" fillId="0" borderId="0" applyNumberFormat="0" applyFill="0" applyBorder="0" applyAlignment="0" applyProtection="0"/>
    <xf numFmtId="0" fontId="173" fillId="0" borderId="9" applyNumberFormat="0" applyFill="0" applyAlignment="0" applyProtection="0"/>
    <xf numFmtId="0" fontId="174" fillId="32" borderId="0" applyNumberFormat="0" applyBorder="0" applyAlignment="0" applyProtection="0"/>
    <xf numFmtId="170" fontId="0" fillId="0" borderId="0" applyFont="0" applyFill="0" applyBorder="0" applyAlignment="0" applyProtection="0"/>
  </cellStyleXfs>
  <cellXfs count="69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xf>
    <xf numFmtId="0" fontId="7" fillId="0" borderId="0" xfId="0" applyFont="1" applyFill="1" applyAlignment="1">
      <alignment/>
    </xf>
    <xf numFmtId="0" fontId="4" fillId="0" borderId="0" xfId="0" applyFont="1" applyFill="1" applyBorder="1" applyAlignment="1">
      <alignment/>
    </xf>
    <xf numFmtId="0" fontId="8" fillId="0" borderId="0" xfId="0" applyFont="1" applyAlignment="1">
      <alignment/>
    </xf>
    <xf numFmtId="174" fontId="10" fillId="0" borderId="0" xfId="0" applyNumberFormat="1" applyFont="1" applyAlignment="1">
      <alignment/>
    </xf>
    <xf numFmtId="174" fontId="11" fillId="0" borderId="0" xfId="0" applyNumberFormat="1" applyFont="1" applyAlignment="1">
      <alignment/>
    </xf>
    <xf numFmtId="0" fontId="4" fillId="0" borderId="0" xfId="0" applyFont="1" applyFill="1" applyAlignment="1">
      <alignment/>
    </xf>
    <xf numFmtId="0" fontId="10" fillId="0" borderId="0" xfId="0" applyFont="1" applyFill="1" applyAlignment="1">
      <alignment/>
    </xf>
    <xf numFmtId="0" fontId="4" fillId="0" borderId="0" xfId="0" applyFont="1" applyAlignment="1">
      <alignment horizontal="center"/>
    </xf>
    <xf numFmtId="0" fontId="4" fillId="0" borderId="0" xfId="0" applyFont="1" applyFill="1" applyBorder="1" applyAlignment="1">
      <alignment horizontal="center"/>
    </xf>
    <xf numFmtId="0" fontId="14" fillId="0" borderId="0" xfId="0" applyFont="1" applyAlignment="1">
      <alignment/>
    </xf>
    <xf numFmtId="0" fontId="9" fillId="0" borderId="0" xfId="0" applyFont="1" applyAlignment="1">
      <alignment/>
    </xf>
    <xf numFmtId="0" fontId="8" fillId="0" borderId="0" xfId="0" applyFont="1" applyAlignment="1">
      <alignment horizontal="center"/>
    </xf>
    <xf numFmtId="2" fontId="9" fillId="0" borderId="0" xfId="0" applyNumberFormat="1" applyFont="1" applyFill="1" applyBorder="1" applyAlignment="1">
      <alignment horizontal="center"/>
    </xf>
    <xf numFmtId="2" fontId="4" fillId="0" borderId="0" xfId="0" applyNumberFormat="1" applyFont="1" applyAlignment="1">
      <alignment/>
    </xf>
    <xf numFmtId="2" fontId="13" fillId="0" borderId="0" xfId="0" applyNumberFormat="1" applyFont="1" applyFill="1" applyAlignment="1">
      <alignment horizontal="center"/>
    </xf>
    <xf numFmtId="2" fontId="4" fillId="0" borderId="0" xfId="0" applyNumberFormat="1" applyFont="1" applyFill="1" applyAlignment="1">
      <alignment horizontal="center"/>
    </xf>
    <xf numFmtId="0" fontId="4" fillId="0" borderId="0" xfId="0" applyFont="1" applyFill="1" applyAlignment="1">
      <alignment horizontal="center"/>
    </xf>
    <xf numFmtId="174" fontId="4" fillId="0" borderId="0" xfId="0" applyNumberFormat="1" applyFont="1" applyBorder="1" applyAlignment="1">
      <alignment/>
    </xf>
    <xf numFmtId="2" fontId="5" fillId="0" borderId="0" xfId="0" applyNumberFormat="1" applyFont="1" applyAlignment="1">
      <alignment/>
    </xf>
    <xf numFmtId="0" fontId="8" fillId="0" borderId="0" xfId="0" applyFont="1" applyFill="1" applyBorder="1" applyAlignment="1">
      <alignment horizontal="center"/>
    </xf>
    <xf numFmtId="2" fontId="6" fillId="0" borderId="0" xfId="0" applyNumberFormat="1" applyFont="1" applyFill="1" applyBorder="1" applyAlignment="1">
      <alignment horizontal="center"/>
    </xf>
    <xf numFmtId="0" fontId="17" fillId="0" borderId="0" xfId="0" applyFont="1" applyAlignment="1">
      <alignment/>
    </xf>
    <xf numFmtId="1" fontId="18" fillId="0" borderId="0" xfId="0" applyNumberFormat="1" applyFont="1" applyFill="1" applyBorder="1" applyAlignment="1">
      <alignment horizontal="center"/>
    </xf>
    <xf numFmtId="2" fontId="13" fillId="0" borderId="0" xfId="0" applyNumberFormat="1" applyFont="1" applyAlignment="1">
      <alignment horizontal="center"/>
    </xf>
    <xf numFmtId="2" fontId="13" fillId="0" borderId="0" xfId="0" applyNumberFormat="1" applyFont="1" applyBorder="1" applyAlignment="1">
      <alignment horizontal="center"/>
    </xf>
    <xf numFmtId="174" fontId="6" fillId="0" borderId="0" xfId="0" applyNumberFormat="1" applyFont="1" applyFill="1" applyBorder="1" applyAlignment="1">
      <alignment/>
    </xf>
    <xf numFmtId="0" fontId="0" fillId="0" borderId="0" xfId="0" applyFill="1" applyAlignment="1">
      <alignment/>
    </xf>
    <xf numFmtId="180" fontId="4" fillId="0" borderId="0" xfId="0" applyNumberFormat="1" applyFont="1" applyFill="1" applyBorder="1" applyAlignment="1">
      <alignment horizontal="center"/>
    </xf>
    <xf numFmtId="0" fontId="22" fillId="0" borderId="0" xfId="0" applyFont="1" applyAlignment="1">
      <alignment horizontal="center"/>
    </xf>
    <xf numFmtId="0" fontId="8" fillId="0" borderId="0" xfId="0" applyFont="1" applyBorder="1" applyAlignment="1">
      <alignment horizontal="center"/>
    </xf>
    <xf numFmtId="0" fontId="13" fillId="0" borderId="0" xfId="0" applyFont="1" applyFill="1" applyAlignment="1">
      <alignment/>
    </xf>
    <xf numFmtId="0" fontId="13" fillId="0" borderId="0" xfId="0" applyFont="1" applyBorder="1" applyAlignment="1">
      <alignment horizontal="center"/>
    </xf>
    <xf numFmtId="2" fontId="13" fillId="0" borderId="0" xfId="0" applyNumberFormat="1" applyFont="1" applyFill="1" applyBorder="1" applyAlignment="1">
      <alignment horizontal="center"/>
    </xf>
    <xf numFmtId="0" fontId="25" fillId="0" borderId="0" xfId="0" applyFont="1" applyAlignment="1">
      <alignment/>
    </xf>
    <xf numFmtId="0" fontId="13" fillId="0" borderId="0" xfId="0" applyFont="1" applyAlignment="1">
      <alignment horizontal="center"/>
    </xf>
    <xf numFmtId="0" fontId="0" fillId="0" borderId="0" xfId="0" applyFill="1" applyBorder="1" applyAlignment="1">
      <alignment/>
    </xf>
    <xf numFmtId="0" fontId="6" fillId="0" borderId="0" xfId="0" applyFont="1" applyBorder="1" applyAlignment="1">
      <alignment/>
    </xf>
    <xf numFmtId="0" fontId="30" fillId="0" borderId="0" xfId="0" applyFont="1" applyAlignment="1">
      <alignment/>
    </xf>
    <xf numFmtId="0" fontId="25" fillId="0" borderId="0" xfId="0" applyFont="1" applyFill="1" applyAlignment="1">
      <alignment/>
    </xf>
    <xf numFmtId="0" fontId="6" fillId="0" borderId="0" xfId="0" applyFont="1" applyBorder="1" applyAlignment="1">
      <alignment horizontal="center"/>
    </xf>
    <xf numFmtId="174" fontId="6" fillId="0" borderId="0" xfId="0" applyNumberFormat="1" applyFont="1" applyAlignment="1">
      <alignment/>
    </xf>
    <xf numFmtId="9" fontId="25" fillId="0" borderId="0" xfId="0" applyNumberFormat="1" applyFont="1" applyAlignment="1">
      <alignment horizontal="center"/>
    </xf>
    <xf numFmtId="2" fontId="6" fillId="0" borderId="0" xfId="0" applyNumberFormat="1" applyFont="1" applyFill="1" applyBorder="1" applyAlignment="1">
      <alignment/>
    </xf>
    <xf numFmtId="2" fontId="6" fillId="0" borderId="0" xfId="0" applyNumberFormat="1" applyFont="1" applyFill="1" applyAlignment="1">
      <alignment/>
    </xf>
    <xf numFmtId="0" fontId="6" fillId="0" borderId="0" xfId="0" applyFont="1" applyFill="1" applyAlignment="1">
      <alignment/>
    </xf>
    <xf numFmtId="0" fontId="25" fillId="0" borderId="0" xfId="0" applyFont="1" applyAlignment="1">
      <alignment horizontal="center"/>
    </xf>
    <xf numFmtId="0" fontId="6" fillId="0" borderId="0" xfId="0" applyFont="1" applyAlignment="1">
      <alignment horizontal="center"/>
    </xf>
    <xf numFmtId="0" fontId="7" fillId="0" borderId="0" xfId="0" applyFont="1" applyFill="1" applyBorder="1" applyAlignment="1">
      <alignment/>
    </xf>
    <xf numFmtId="2" fontId="7" fillId="0" borderId="0" xfId="0" applyNumberFormat="1" applyFont="1" applyFill="1" applyAlignment="1">
      <alignment horizontal="center"/>
    </xf>
    <xf numFmtId="0" fontId="31" fillId="0" borderId="0" xfId="0" applyFont="1" applyAlignment="1">
      <alignment/>
    </xf>
    <xf numFmtId="0" fontId="4" fillId="0" borderId="0" xfId="0" applyFont="1" applyAlignment="1">
      <alignment horizontal="right"/>
    </xf>
    <xf numFmtId="0" fontId="32" fillId="0" borderId="0" xfId="0" applyFont="1" applyAlignment="1">
      <alignment/>
    </xf>
    <xf numFmtId="2" fontId="32" fillId="0" borderId="0" xfId="0" applyNumberFormat="1" applyFont="1" applyAlignment="1">
      <alignment/>
    </xf>
    <xf numFmtId="0" fontId="24" fillId="0" borderId="0" xfId="0" applyFont="1" applyAlignment="1">
      <alignment/>
    </xf>
    <xf numFmtId="0" fontId="13" fillId="0" borderId="0" xfId="0" applyFont="1" applyAlignment="1">
      <alignment/>
    </xf>
    <xf numFmtId="0" fontId="27" fillId="0" borderId="0" xfId="0" applyFont="1" applyBorder="1" applyAlignment="1">
      <alignment horizontal="center"/>
    </xf>
    <xf numFmtId="0" fontId="34" fillId="0" borderId="0" xfId="0" applyFont="1" applyBorder="1" applyAlignment="1">
      <alignment/>
    </xf>
    <xf numFmtId="2" fontId="4" fillId="0" borderId="0" xfId="0" applyNumberFormat="1" applyFont="1" applyAlignment="1">
      <alignment horizontal="center"/>
    </xf>
    <xf numFmtId="2" fontId="4" fillId="0" borderId="0" xfId="0" applyNumberFormat="1" applyFont="1" applyFill="1" applyBorder="1" applyAlignment="1">
      <alignment horizontal="center"/>
    </xf>
    <xf numFmtId="0" fontId="6" fillId="0" borderId="0" xfId="0" applyFont="1" applyFill="1" applyBorder="1" applyAlignment="1">
      <alignment horizontal="center"/>
    </xf>
    <xf numFmtId="1" fontId="4" fillId="0" borderId="0" xfId="0" applyNumberFormat="1" applyFont="1" applyAlignment="1">
      <alignment/>
    </xf>
    <xf numFmtId="2" fontId="6" fillId="0" borderId="0" xfId="0" applyNumberFormat="1" applyFont="1" applyAlignment="1">
      <alignment/>
    </xf>
    <xf numFmtId="2" fontId="6" fillId="0" borderId="0" xfId="0" applyNumberFormat="1" applyFont="1" applyAlignment="1">
      <alignment horizontal="center"/>
    </xf>
    <xf numFmtId="0" fontId="6" fillId="0" borderId="0" xfId="0" applyFont="1" applyFill="1" applyAlignment="1">
      <alignment horizontal="right"/>
    </xf>
    <xf numFmtId="0" fontId="27" fillId="0" borderId="0" xfId="0" applyFont="1" applyFill="1" applyBorder="1" applyAlignment="1">
      <alignment horizontal="center"/>
    </xf>
    <xf numFmtId="1" fontId="36" fillId="0" borderId="0" xfId="0" applyNumberFormat="1" applyFont="1" applyFill="1" applyAlignment="1">
      <alignment horizontal="center"/>
    </xf>
    <xf numFmtId="0" fontId="23" fillId="0" borderId="0" xfId="0" applyFont="1" applyFill="1" applyAlignment="1">
      <alignment/>
    </xf>
    <xf numFmtId="0" fontId="36" fillId="0" borderId="0" xfId="0" applyFont="1" applyFill="1" applyAlignment="1">
      <alignment horizontal="center"/>
    </xf>
    <xf numFmtId="0" fontId="23" fillId="0" borderId="0" xfId="0" applyFont="1" applyAlignment="1">
      <alignment/>
    </xf>
    <xf numFmtId="0" fontId="7" fillId="0" borderId="0" xfId="0" applyFont="1" applyAlignment="1">
      <alignment/>
    </xf>
    <xf numFmtId="2" fontId="13" fillId="0" borderId="0" xfId="0" applyNumberFormat="1" applyFont="1" applyAlignment="1">
      <alignment/>
    </xf>
    <xf numFmtId="0" fontId="13" fillId="0" borderId="0" xfId="0" applyNumberFormat="1" applyFont="1" applyAlignment="1">
      <alignment/>
    </xf>
    <xf numFmtId="0" fontId="6" fillId="0" borderId="0" xfId="0" applyFont="1" applyFill="1" applyBorder="1" applyAlignment="1">
      <alignment/>
    </xf>
    <xf numFmtId="178" fontId="6" fillId="0" borderId="0" xfId="0" applyNumberFormat="1" applyFont="1" applyAlignment="1">
      <alignment/>
    </xf>
    <xf numFmtId="0" fontId="12" fillId="0" borderId="0" xfId="0" applyFont="1" applyAlignment="1">
      <alignment/>
    </xf>
    <xf numFmtId="3" fontId="4" fillId="0" borderId="0" xfId="0" applyNumberFormat="1" applyFont="1" applyAlignment="1">
      <alignment/>
    </xf>
    <xf numFmtId="0" fontId="21" fillId="0" borderId="0" xfId="0" applyFont="1" applyFill="1" applyAlignment="1">
      <alignment/>
    </xf>
    <xf numFmtId="3" fontId="6" fillId="0" borderId="0" xfId="0" applyNumberFormat="1" applyFont="1" applyFill="1" applyAlignment="1">
      <alignment horizontal="center"/>
    </xf>
    <xf numFmtId="0" fontId="14" fillId="0" borderId="0" xfId="0" applyFont="1" applyFill="1" applyBorder="1" applyAlignment="1">
      <alignment/>
    </xf>
    <xf numFmtId="182" fontId="14" fillId="0" borderId="0" xfId="0" applyNumberFormat="1" applyFont="1" applyFill="1" applyBorder="1" applyAlignment="1">
      <alignment/>
    </xf>
    <xf numFmtId="0" fontId="14" fillId="0" borderId="0" xfId="0" applyFont="1" applyFill="1" applyAlignment="1">
      <alignment horizontal="center"/>
    </xf>
    <xf numFmtId="0" fontId="29" fillId="0" borderId="0" xfId="0" applyFont="1" applyFill="1" applyAlignment="1">
      <alignment/>
    </xf>
    <xf numFmtId="0" fontId="38" fillId="0" borderId="0" xfId="0" applyFont="1" applyAlignment="1">
      <alignment horizontal="right"/>
    </xf>
    <xf numFmtId="2" fontId="0" fillId="0" borderId="0" xfId="0" applyNumberFormat="1" applyAlignment="1">
      <alignment/>
    </xf>
    <xf numFmtId="182" fontId="24" fillId="0" borderId="0" xfId="0" applyNumberFormat="1" applyFont="1" applyFill="1" applyBorder="1" applyAlignment="1">
      <alignment horizontal="right"/>
    </xf>
    <xf numFmtId="2" fontId="39" fillId="0" borderId="0" xfId="0" applyNumberFormat="1" applyFont="1" applyFill="1" applyBorder="1" applyAlignment="1">
      <alignment horizontal="center"/>
    </xf>
    <xf numFmtId="0" fontId="40" fillId="0" borderId="0" xfId="0" applyFont="1" applyAlignment="1">
      <alignment/>
    </xf>
    <xf numFmtId="174" fontId="4" fillId="0" borderId="0" xfId="0" applyNumberFormat="1" applyFont="1" applyBorder="1" applyAlignment="1">
      <alignment horizontal="center"/>
    </xf>
    <xf numFmtId="0" fontId="20" fillId="0" borderId="0" xfId="0" applyFont="1" applyAlignment="1">
      <alignment/>
    </xf>
    <xf numFmtId="4" fontId="4" fillId="33" borderId="0" xfId="0" applyNumberFormat="1" applyFont="1" applyFill="1" applyAlignment="1">
      <alignment horizontal="center"/>
    </xf>
    <xf numFmtId="3" fontId="4" fillId="0" borderId="0" xfId="0" applyNumberFormat="1" applyFont="1" applyFill="1" applyAlignment="1">
      <alignment horizontal="center"/>
    </xf>
    <xf numFmtId="0" fontId="5" fillId="34" borderId="0" xfId="0" applyFont="1" applyFill="1" applyBorder="1" applyAlignment="1">
      <alignment horizontal="center"/>
    </xf>
    <xf numFmtId="0" fontId="24" fillId="0" borderId="0" xfId="0" applyFont="1" applyFill="1" applyAlignment="1">
      <alignment/>
    </xf>
    <xf numFmtId="0" fontId="23" fillId="0" borderId="0" xfId="0" applyFont="1" applyFill="1" applyAlignment="1">
      <alignment horizontal="center"/>
    </xf>
    <xf numFmtId="0" fontId="42" fillId="0" borderId="0" xfId="0" applyFont="1" applyFill="1" applyAlignment="1">
      <alignment/>
    </xf>
    <xf numFmtId="0" fontId="42" fillId="0" borderId="0" xfId="0" applyFont="1" applyAlignment="1">
      <alignment/>
    </xf>
    <xf numFmtId="0" fontId="37" fillId="0" borderId="0" xfId="0" applyFont="1" applyFill="1" applyAlignment="1">
      <alignment/>
    </xf>
    <xf numFmtId="0" fontId="37" fillId="0" borderId="0" xfId="0" applyFont="1" applyAlignment="1">
      <alignment/>
    </xf>
    <xf numFmtId="174" fontId="4" fillId="0" borderId="0" xfId="0" applyNumberFormat="1" applyFont="1" applyFill="1" applyBorder="1" applyAlignment="1">
      <alignment/>
    </xf>
    <xf numFmtId="182" fontId="43" fillId="0" borderId="0" xfId="58" applyNumberFormat="1" applyFont="1" applyAlignment="1">
      <alignment/>
    </xf>
    <xf numFmtId="0" fontId="43" fillId="0" borderId="0" xfId="0" applyFont="1" applyAlignment="1">
      <alignment/>
    </xf>
    <xf numFmtId="0" fontId="31" fillId="0" borderId="0" xfId="0" applyFont="1" applyBorder="1" applyAlignment="1">
      <alignment/>
    </xf>
    <xf numFmtId="2" fontId="24" fillId="0" borderId="0" xfId="0" applyNumberFormat="1" applyFont="1" applyFill="1" applyBorder="1" applyAlignment="1">
      <alignment horizontal="right"/>
    </xf>
    <xf numFmtId="2" fontId="24" fillId="0" borderId="0" xfId="0" applyNumberFormat="1" applyFont="1" applyFill="1" applyBorder="1" applyAlignment="1">
      <alignment horizontal="left"/>
    </xf>
    <xf numFmtId="10" fontId="20" fillId="0" borderId="0" xfId="0" applyNumberFormat="1" applyFont="1" applyFill="1" applyAlignment="1">
      <alignment horizontal="center"/>
    </xf>
    <xf numFmtId="0" fontId="20" fillId="0" borderId="0" xfId="0" applyFont="1" applyAlignment="1">
      <alignment horizontal="center"/>
    </xf>
    <xf numFmtId="2" fontId="20" fillId="0" borderId="0" xfId="0" applyNumberFormat="1" applyFont="1" applyFill="1" applyBorder="1" applyAlignment="1">
      <alignment horizontal="center"/>
    </xf>
    <xf numFmtId="0" fontId="8" fillId="0" borderId="0" xfId="0" applyFont="1" applyFill="1" applyAlignment="1">
      <alignment/>
    </xf>
    <xf numFmtId="2" fontId="37" fillId="0" borderId="0" xfId="0" applyNumberFormat="1" applyFont="1" applyFill="1" applyBorder="1" applyAlignment="1">
      <alignment horizontal="center"/>
    </xf>
    <xf numFmtId="0" fontId="44" fillId="0" borderId="0" xfId="0" applyFont="1" applyAlignment="1">
      <alignment horizontal="center"/>
    </xf>
    <xf numFmtId="49" fontId="20" fillId="0" borderId="0" xfId="0" applyNumberFormat="1" applyFont="1" applyAlignment="1">
      <alignment/>
    </xf>
    <xf numFmtId="0" fontId="5" fillId="0" borderId="0" xfId="0" applyFont="1" applyFill="1" applyAlignment="1">
      <alignment/>
    </xf>
    <xf numFmtId="0" fontId="31" fillId="0" borderId="0" xfId="0" applyFont="1" applyAlignment="1">
      <alignment horizontal="center"/>
    </xf>
    <xf numFmtId="1" fontId="13" fillId="0" borderId="0" xfId="0" applyNumberFormat="1" applyFont="1" applyFill="1" applyBorder="1" applyAlignment="1">
      <alignment horizontal="center"/>
    </xf>
    <xf numFmtId="2" fontId="13" fillId="0" borderId="0" xfId="0" applyNumberFormat="1" applyFont="1" applyFill="1" applyAlignment="1">
      <alignment/>
    </xf>
    <xf numFmtId="0" fontId="24" fillId="0" borderId="0" xfId="0" applyFont="1" applyBorder="1" applyAlignment="1">
      <alignment/>
    </xf>
    <xf numFmtId="10" fontId="24" fillId="0" borderId="0" xfId="0" applyNumberFormat="1" applyFont="1" applyAlignment="1">
      <alignment/>
    </xf>
    <xf numFmtId="0" fontId="18" fillId="0" borderId="0" xfId="0" applyFont="1" applyAlignment="1">
      <alignment/>
    </xf>
    <xf numFmtId="0" fontId="45" fillId="0" borderId="0" xfId="0" applyFont="1" applyAlignment="1">
      <alignment horizontal="center"/>
    </xf>
    <xf numFmtId="0" fontId="31" fillId="0" borderId="0" xfId="0" applyFont="1" applyBorder="1" applyAlignment="1">
      <alignment horizontal="center"/>
    </xf>
    <xf numFmtId="0" fontId="31" fillId="0" borderId="0" xfId="0" applyFont="1" applyAlignment="1">
      <alignment/>
    </xf>
    <xf numFmtId="0" fontId="31" fillId="0" borderId="0" xfId="0" applyFont="1" applyFill="1" applyAlignment="1">
      <alignment horizontal="right"/>
    </xf>
    <xf numFmtId="0" fontId="35" fillId="0" borderId="0" xfId="0" applyFont="1" applyFill="1" applyAlignment="1">
      <alignment/>
    </xf>
    <xf numFmtId="0" fontId="19" fillId="0" borderId="0" xfId="0" applyFont="1" applyFill="1" applyAlignment="1">
      <alignment/>
    </xf>
    <xf numFmtId="0" fontId="29" fillId="0" borderId="0" xfId="0" applyFont="1" applyAlignment="1">
      <alignment/>
    </xf>
    <xf numFmtId="0" fontId="41" fillId="0" borderId="0" xfId="0" applyFont="1" applyBorder="1" applyAlignment="1">
      <alignment horizontal="center"/>
    </xf>
    <xf numFmtId="2" fontId="46" fillId="0" borderId="0" xfId="0" applyNumberFormat="1" applyFont="1" applyFill="1" applyBorder="1" applyAlignment="1">
      <alignment horizontal="center"/>
    </xf>
    <xf numFmtId="174" fontId="6" fillId="0" borderId="0" xfId="0" applyNumberFormat="1" applyFont="1" applyBorder="1" applyAlignment="1">
      <alignment/>
    </xf>
    <xf numFmtId="174" fontId="6" fillId="0" borderId="0" xfId="0" applyNumberFormat="1" applyFont="1" applyAlignment="1">
      <alignment/>
    </xf>
    <xf numFmtId="0" fontId="47" fillId="0" borderId="0" xfId="0" applyFont="1" applyFill="1" applyAlignment="1">
      <alignment horizontal="center"/>
    </xf>
    <xf numFmtId="2" fontId="29" fillId="0" borderId="0" xfId="0" applyNumberFormat="1" applyFont="1" applyAlignment="1">
      <alignment/>
    </xf>
    <xf numFmtId="2" fontId="4" fillId="33" borderId="0" xfId="0" applyNumberFormat="1" applyFont="1" applyFill="1" applyAlignment="1">
      <alignment horizontal="center"/>
    </xf>
    <xf numFmtId="0" fontId="4" fillId="33" borderId="0" xfId="0" applyFont="1" applyFill="1" applyAlignment="1">
      <alignment horizontal="center"/>
    </xf>
    <xf numFmtId="3" fontId="0" fillId="0" borderId="0" xfId="0" applyNumberFormat="1" applyAlignment="1">
      <alignment/>
    </xf>
    <xf numFmtId="4" fontId="0" fillId="0" borderId="0" xfId="0" applyNumberFormat="1" applyAlignment="1">
      <alignment/>
    </xf>
    <xf numFmtId="183" fontId="0" fillId="0" borderId="0" xfId="0" applyNumberFormat="1" applyAlignment="1">
      <alignment/>
    </xf>
    <xf numFmtId="179" fontId="0" fillId="0" borderId="0" xfId="0" applyNumberFormat="1" applyAlignment="1">
      <alignment/>
    </xf>
    <xf numFmtId="2" fontId="24" fillId="0" borderId="0" xfId="0" applyNumberFormat="1" applyFont="1" applyAlignment="1">
      <alignment horizontal="center"/>
    </xf>
    <xf numFmtId="0" fontId="52" fillId="0" borderId="0" xfId="0" applyFont="1" applyFill="1" applyAlignment="1">
      <alignment/>
    </xf>
    <xf numFmtId="4" fontId="29" fillId="0" borderId="0" xfId="0" applyNumberFormat="1" applyFont="1" applyAlignment="1">
      <alignment/>
    </xf>
    <xf numFmtId="0" fontId="14" fillId="0" borderId="0" xfId="0" applyFont="1" applyAlignment="1">
      <alignment horizontal="center"/>
    </xf>
    <xf numFmtId="2" fontId="20" fillId="0" borderId="0" xfId="0" applyNumberFormat="1" applyFont="1" applyFill="1" applyAlignment="1">
      <alignment horizontal="center"/>
    </xf>
    <xf numFmtId="10" fontId="20" fillId="0" borderId="0" xfId="0" applyNumberFormat="1" applyFont="1" applyAlignment="1">
      <alignment horizontal="center"/>
    </xf>
    <xf numFmtId="2" fontId="24" fillId="0" borderId="0" xfId="0" applyNumberFormat="1" applyFont="1" applyFill="1" applyAlignment="1">
      <alignment horizontal="center"/>
    </xf>
    <xf numFmtId="0" fontId="13" fillId="0" borderId="0" xfId="0" applyFont="1" applyFill="1" applyAlignment="1">
      <alignment horizontal="center"/>
    </xf>
    <xf numFmtId="0" fontId="21" fillId="0" borderId="0" xfId="0" applyFont="1" applyAlignment="1">
      <alignment/>
    </xf>
    <xf numFmtId="2" fontId="21" fillId="0" borderId="0" xfId="0" applyNumberFormat="1" applyFont="1" applyAlignment="1">
      <alignment/>
    </xf>
    <xf numFmtId="0" fontId="52" fillId="0" borderId="0" xfId="0" applyFont="1" applyAlignment="1">
      <alignment/>
    </xf>
    <xf numFmtId="4" fontId="24" fillId="0" borderId="0" xfId="0" applyNumberFormat="1" applyFont="1" applyFill="1" applyAlignment="1">
      <alignment horizontal="center"/>
    </xf>
    <xf numFmtId="0" fontId="55" fillId="0" borderId="0" xfId="0" applyFont="1" applyAlignment="1">
      <alignment horizontal="right"/>
    </xf>
    <xf numFmtId="0" fontId="55" fillId="0" borderId="0" xfId="0" applyFont="1" applyFill="1" applyAlignment="1">
      <alignment horizontal="right"/>
    </xf>
    <xf numFmtId="0" fontId="56" fillId="0" borderId="0" xfId="0" applyFont="1" applyFill="1" applyAlignment="1">
      <alignment/>
    </xf>
    <xf numFmtId="2" fontId="56" fillId="0" borderId="0" xfId="0" applyNumberFormat="1" applyFont="1" applyFill="1" applyAlignment="1">
      <alignment horizontal="right"/>
    </xf>
    <xf numFmtId="0" fontId="31" fillId="0" borderId="0" xfId="0" applyFont="1" applyFill="1" applyAlignment="1">
      <alignment/>
    </xf>
    <xf numFmtId="10" fontId="0" fillId="0" borderId="0" xfId="0" applyNumberFormat="1" applyAlignment="1">
      <alignment/>
    </xf>
    <xf numFmtId="2" fontId="24" fillId="0" borderId="0" xfId="0" applyNumberFormat="1" applyFont="1" applyAlignment="1">
      <alignment/>
    </xf>
    <xf numFmtId="0" fontId="58" fillId="0" borderId="0" xfId="0" applyFont="1" applyBorder="1" applyAlignment="1">
      <alignment horizontal="center"/>
    </xf>
    <xf numFmtId="0" fontId="58" fillId="0" borderId="0" xfId="0" applyFont="1" applyAlignment="1">
      <alignment/>
    </xf>
    <xf numFmtId="2" fontId="58" fillId="0" borderId="0" xfId="0" applyNumberFormat="1" applyFont="1" applyAlignment="1">
      <alignment/>
    </xf>
    <xf numFmtId="9" fontId="59" fillId="0" borderId="0" xfId="0" applyNumberFormat="1" applyFont="1" applyAlignment="1">
      <alignment horizontal="center"/>
    </xf>
    <xf numFmtId="0" fontId="59" fillId="0" borderId="0" xfId="0" applyFont="1" applyAlignment="1">
      <alignment/>
    </xf>
    <xf numFmtId="2" fontId="59" fillId="0" borderId="0" xfId="0" applyNumberFormat="1" applyFont="1" applyFill="1" applyBorder="1" applyAlignment="1">
      <alignment horizontal="right"/>
    </xf>
    <xf numFmtId="0" fontId="59" fillId="0" borderId="0" xfId="0" applyFont="1" applyFill="1" applyAlignment="1">
      <alignment/>
    </xf>
    <xf numFmtId="0" fontId="0" fillId="0" borderId="0" xfId="0" applyBorder="1" applyAlignment="1">
      <alignment/>
    </xf>
    <xf numFmtId="0" fontId="4" fillId="0" borderId="0" xfId="0" applyFont="1" applyBorder="1" applyAlignment="1">
      <alignment horizontal="center"/>
    </xf>
    <xf numFmtId="0" fontId="60" fillId="0" borderId="0" xfId="0" applyFont="1" applyAlignment="1">
      <alignment/>
    </xf>
    <xf numFmtId="0" fontId="60" fillId="0" borderId="0" xfId="0" applyFont="1" applyAlignment="1">
      <alignment horizontal="left"/>
    </xf>
    <xf numFmtId="3" fontId="60" fillId="0" borderId="0" xfId="0" applyNumberFormat="1" applyFont="1" applyAlignment="1">
      <alignment horizontal="left"/>
    </xf>
    <xf numFmtId="178" fontId="20" fillId="35" borderId="0" xfId="0" applyNumberFormat="1" applyFont="1" applyFill="1" applyAlignment="1">
      <alignment horizontal="center"/>
    </xf>
    <xf numFmtId="178" fontId="20" fillId="35" borderId="0" xfId="0" applyNumberFormat="1" applyFont="1" applyFill="1" applyBorder="1" applyAlignment="1">
      <alignment horizontal="center"/>
    </xf>
    <xf numFmtId="178" fontId="62" fillId="35" borderId="0" xfId="0" applyNumberFormat="1" applyFont="1" applyFill="1" applyBorder="1" applyAlignment="1">
      <alignment horizontal="center"/>
    </xf>
    <xf numFmtId="178" fontId="12" fillId="35" borderId="0" xfId="0" applyNumberFormat="1" applyFont="1" applyFill="1" applyBorder="1" applyAlignment="1">
      <alignment horizontal="right"/>
    </xf>
    <xf numFmtId="0" fontId="20" fillId="35" borderId="10" xfId="0" applyFont="1" applyFill="1" applyBorder="1" applyAlignment="1">
      <alignment horizontal="right"/>
    </xf>
    <xf numFmtId="178" fontId="62" fillId="35" borderId="0" xfId="0" applyNumberFormat="1" applyFont="1" applyFill="1" applyAlignment="1">
      <alignment horizontal="right"/>
    </xf>
    <xf numFmtId="178" fontId="20" fillId="35" borderId="0" xfId="0" applyNumberFormat="1" applyFont="1" applyFill="1" applyAlignment="1">
      <alignment/>
    </xf>
    <xf numFmtId="178" fontId="20" fillId="35" borderId="0" xfId="0" applyNumberFormat="1" applyFont="1" applyFill="1" applyBorder="1" applyAlignment="1">
      <alignment horizontal="right"/>
    </xf>
    <xf numFmtId="0" fontId="40" fillId="0" borderId="0" xfId="0" applyFont="1" applyFill="1" applyAlignment="1">
      <alignment horizontal="center"/>
    </xf>
    <xf numFmtId="0" fontId="63" fillId="0" borderId="0" xfId="0" applyFont="1" applyAlignment="1">
      <alignment/>
    </xf>
    <xf numFmtId="0" fontId="63" fillId="0" borderId="0" xfId="0" applyFont="1" applyFill="1" applyAlignment="1">
      <alignment/>
    </xf>
    <xf numFmtId="0" fontId="63" fillId="35" borderId="10" xfId="0" applyFont="1" applyFill="1" applyBorder="1" applyAlignment="1">
      <alignment horizontal="right"/>
    </xf>
    <xf numFmtId="0" fontId="63" fillId="35" borderId="11" xfId="0" applyFont="1" applyFill="1" applyBorder="1" applyAlignment="1">
      <alignment/>
    </xf>
    <xf numFmtId="178" fontId="63" fillId="35" borderId="11" xfId="0" applyNumberFormat="1" applyFont="1" applyFill="1" applyBorder="1" applyAlignment="1">
      <alignment/>
    </xf>
    <xf numFmtId="0" fontId="63" fillId="35" borderId="0" xfId="0" applyFont="1" applyFill="1" applyAlignment="1">
      <alignment/>
    </xf>
    <xf numFmtId="178" fontId="65" fillId="35" borderId="0" xfId="0" applyNumberFormat="1" applyFont="1" applyFill="1" applyAlignment="1">
      <alignment horizontal="right"/>
    </xf>
    <xf numFmtId="178" fontId="63" fillId="35" borderId="0" xfId="0" applyNumberFormat="1" applyFont="1" applyFill="1" applyAlignment="1">
      <alignment/>
    </xf>
    <xf numFmtId="178" fontId="63" fillId="35" borderId="0" xfId="0" applyNumberFormat="1" applyFont="1" applyFill="1" applyAlignment="1">
      <alignment horizontal="right"/>
    </xf>
    <xf numFmtId="178" fontId="66" fillId="35" borderId="0" xfId="0" applyNumberFormat="1" applyFont="1" applyFill="1" applyAlignment="1">
      <alignment horizontal="right"/>
    </xf>
    <xf numFmtId="0" fontId="67" fillId="35" borderId="0" xfId="0" applyFont="1" applyFill="1" applyAlignment="1">
      <alignment/>
    </xf>
    <xf numFmtId="180" fontId="63" fillId="35" borderId="0" xfId="0" applyNumberFormat="1" applyFont="1" applyFill="1" applyAlignment="1">
      <alignment horizontal="right"/>
    </xf>
    <xf numFmtId="178" fontId="20" fillId="35" borderId="11" xfId="0" applyNumberFormat="1" applyFont="1" applyFill="1" applyBorder="1" applyAlignment="1">
      <alignment horizontal="right"/>
    </xf>
    <xf numFmtId="178" fontId="62" fillId="35" borderId="0" xfId="0" applyNumberFormat="1" applyFont="1" applyFill="1" applyAlignment="1">
      <alignment horizontal="center"/>
    </xf>
    <xf numFmtId="178" fontId="68" fillId="35" borderId="0" xfId="0" applyNumberFormat="1" applyFont="1" applyFill="1" applyBorder="1" applyAlignment="1">
      <alignment horizontal="right"/>
    </xf>
    <xf numFmtId="1" fontId="18" fillId="0" borderId="0" xfId="0" applyNumberFormat="1" applyFont="1" applyFill="1" applyBorder="1" applyAlignment="1">
      <alignment horizontal="left"/>
    </xf>
    <xf numFmtId="3" fontId="7" fillId="0" borderId="0" xfId="0" applyNumberFormat="1" applyFont="1" applyFill="1" applyAlignment="1">
      <alignment horizontal="center"/>
    </xf>
    <xf numFmtId="3" fontId="6" fillId="0" borderId="0" xfId="0" applyNumberFormat="1" applyFont="1" applyBorder="1" applyAlignment="1">
      <alignment horizontal="center" vertical="top"/>
    </xf>
    <xf numFmtId="0" fontId="69" fillId="0" borderId="0" xfId="0" applyFont="1" applyFill="1" applyAlignment="1">
      <alignment horizontal="center"/>
    </xf>
    <xf numFmtId="0" fontId="0" fillId="33" borderId="0" xfId="0" applyFill="1" applyAlignment="1">
      <alignment/>
    </xf>
    <xf numFmtId="0" fontId="4" fillId="33" borderId="0" xfId="0" applyNumberFormat="1" applyFont="1" applyFill="1" applyAlignment="1">
      <alignment horizontal="center"/>
    </xf>
    <xf numFmtId="3" fontId="13" fillId="0" borderId="0" xfId="0" applyNumberFormat="1" applyFont="1" applyFill="1" applyAlignment="1">
      <alignment horizontal="center"/>
    </xf>
    <xf numFmtId="177" fontId="4" fillId="0" borderId="0" xfId="0" applyNumberFormat="1" applyFont="1" applyFill="1" applyBorder="1" applyAlignment="1">
      <alignment horizontal="center"/>
    </xf>
    <xf numFmtId="0" fontId="73" fillId="0" borderId="0" xfId="0" applyFont="1" applyAlignment="1">
      <alignment/>
    </xf>
    <xf numFmtId="1" fontId="73" fillId="0" borderId="0" xfId="0" applyNumberFormat="1" applyFont="1" applyFill="1" applyBorder="1" applyAlignment="1">
      <alignment horizontal="left"/>
    </xf>
    <xf numFmtId="2" fontId="73" fillId="36" borderId="0" xfId="0" applyNumberFormat="1" applyFont="1" applyFill="1" applyAlignment="1">
      <alignment horizontal="center"/>
    </xf>
    <xf numFmtId="2" fontId="73" fillId="36" borderId="0" xfId="0" applyNumberFormat="1" applyFont="1" applyFill="1" applyBorder="1" applyAlignment="1">
      <alignment horizontal="center"/>
    </xf>
    <xf numFmtId="0" fontId="72" fillId="0" borderId="0" xfId="0" applyFont="1" applyAlignment="1">
      <alignment/>
    </xf>
    <xf numFmtId="0" fontId="74" fillId="0" borderId="0" xfId="0" applyFont="1" applyAlignment="1">
      <alignment/>
    </xf>
    <xf numFmtId="0" fontId="75" fillId="0" borderId="0" xfId="0" applyFont="1" applyAlignment="1">
      <alignment/>
    </xf>
    <xf numFmtId="0" fontId="53" fillId="0" borderId="0" xfId="0" applyFont="1" applyFill="1" applyBorder="1" applyAlignment="1">
      <alignment/>
    </xf>
    <xf numFmtId="0" fontId="20" fillId="0" borderId="0" xfId="0" applyFont="1" applyFill="1" applyBorder="1" applyAlignment="1">
      <alignment/>
    </xf>
    <xf numFmtId="0" fontId="76" fillId="0" borderId="0" xfId="0" applyFont="1" applyFill="1" applyAlignment="1">
      <alignment/>
    </xf>
    <xf numFmtId="0" fontId="20" fillId="0" borderId="0" xfId="0" applyFont="1" applyFill="1" applyBorder="1" applyAlignment="1">
      <alignment horizontal="left"/>
    </xf>
    <xf numFmtId="0" fontId="20" fillId="0" borderId="0" xfId="0" applyFont="1" applyFill="1" applyBorder="1" applyAlignment="1">
      <alignment horizontal="center"/>
    </xf>
    <xf numFmtId="177" fontId="20" fillId="0" borderId="0" xfId="0" applyNumberFormat="1" applyFont="1" applyFill="1" applyBorder="1" applyAlignment="1">
      <alignment horizontal="center"/>
    </xf>
    <xf numFmtId="3" fontId="20" fillId="0" borderId="0" xfId="0" applyNumberFormat="1" applyFont="1" applyFill="1" applyAlignment="1">
      <alignment horizontal="center"/>
    </xf>
    <xf numFmtId="0" fontId="0" fillId="35" borderId="0" xfId="0" applyFill="1" applyAlignment="1">
      <alignment/>
    </xf>
    <xf numFmtId="0" fontId="20" fillId="0" borderId="0" xfId="0" applyFont="1" applyAlignment="1">
      <alignment horizontal="left"/>
    </xf>
    <xf numFmtId="0" fontId="69" fillId="0" borderId="0" xfId="0" applyFont="1" applyFill="1" applyAlignment="1">
      <alignment horizontal="left"/>
    </xf>
    <xf numFmtId="0" fontId="69" fillId="0" borderId="0" xfId="0" applyFont="1" applyFill="1" applyBorder="1" applyAlignment="1">
      <alignment horizontal="center"/>
    </xf>
    <xf numFmtId="0" fontId="69" fillId="0" borderId="0" xfId="0" applyFont="1" applyFill="1" applyAlignment="1">
      <alignment/>
    </xf>
    <xf numFmtId="177" fontId="20" fillId="0" borderId="0" xfId="0" applyNumberFormat="1" applyFont="1" applyFill="1" applyAlignment="1">
      <alignment horizontal="center"/>
    </xf>
    <xf numFmtId="2" fontId="72" fillId="0" borderId="0" xfId="0" applyNumberFormat="1" applyFont="1" applyFill="1" applyBorder="1" applyAlignment="1">
      <alignment horizontal="right"/>
    </xf>
    <xf numFmtId="2" fontId="24" fillId="0" borderId="0" xfId="0" applyNumberFormat="1" applyFont="1" applyFill="1" applyAlignment="1">
      <alignment/>
    </xf>
    <xf numFmtId="0" fontId="53" fillId="0" borderId="0" xfId="0" applyFont="1" applyAlignment="1">
      <alignment/>
    </xf>
    <xf numFmtId="0" fontId="53" fillId="0" borderId="0" xfId="0" applyFont="1" applyBorder="1" applyAlignment="1">
      <alignment/>
    </xf>
    <xf numFmtId="0" fontId="77" fillId="0" borderId="0" xfId="0" applyFont="1" applyAlignment="1">
      <alignment horizontal="center"/>
    </xf>
    <xf numFmtId="0" fontId="41" fillId="0" borderId="0" xfId="0" applyFont="1" applyFill="1" applyBorder="1" applyAlignment="1">
      <alignment horizontal="center"/>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horizontal="right"/>
    </xf>
    <xf numFmtId="0" fontId="83" fillId="0" borderId="0" xfId="0" applyFont="1" applyAlignment="1">
      <alignment/>
    </xf>
    <xf numFmtId="2" fontId="6" fillId="0" borderId="0" xfId="0" applyNumberFormat="1" applyFont="1" applyFill="1" applyBorder="1" applyAlignment="1">
      <alignment horizontal="left"/>
    </xf>
    <xf numFmtId="0" fontId="56" fillId="0" borderId="0" xfId="0" applyFont="1" applyAlignment="1">
      <alignment/>
    </xf>
    <xf numFmtId="174" fontId="6" fillId="0" borderId="0" xfId="0" applyNumberFormat="1" applyFont="1" applyFill="1" applyBorder="1" applyAlignment="1">
      <alignment horizontal="center"/>
    </xf>
    <xf numFmtId="174" fontId="58" fillId="0" borderId="0" xfId="0" applyNumberFormat="1" applyFont="1" applyFill="1" applyBorder="1" applyAlignment="1">
      <alignment horizontal="center"/>
    </xf>
    <xf numFmtId="174" fontId="13" fillId="0" borderId="0" xfId="0" applyNumberFormat="1" applyFont="1" applyFill="1" applyBorder="1" applyAlignment="1">
      <alignment horizontal="center"/>
    </xf>
    <xf numFmtId="174" fontId="13" fillId="0" borderId="0" xfId="0" applyNumberFormat="1" applyFont="1" applyBorder="1" applyAlignment="1">
      <alignment horizontal="center"/>
    </xf>
    <xf numFmtId="174" fontId="58" fillId="0" borderId="0" xfId="0" applyNumberFormat="1" applyFont="1" applyAlignment="1">
      <alignment horizontal="center"/>
    </xf>
    <xf numFmtId="174" fontId="13" fillId="0" borderId="0" xfId="0" applyNumberFormat="1" applyFont="1" applyAlignment="1">
      <alignment horizontal="center"/>
    </xf>
    <xf numFmtId="177" fontId="13" fillId="0" borderId="0" xfId="0" applyNumberFormat="1" applyFont="1" applyFill="1" applyAlignment="1">
      <alignment horizontal="center"/>
    </xf>
    <xf numFmtId="174" fontId="9" fillId="34" borderId="0" xfId="0" applyNumberFormat="1" applyFont="1" applyFill="1" applyBorder="1" applyAlignment="1">
      <alignment horizontal="center"/>
    </xf>
    <xf numFmtId="182" fontId="20" fillId="0" borderId="0" xfId="0" applyNumberFormat="1" applyFont="1" applyFill="1" applyAlignment="1">
      <alignment horizontal="center"/>
    </xf>
    <xf numFmtId="174" fontId="13" fillId="34" borderId="0" xfId="0" applyNumberFormat="1" applyFont="1" applyFill="1" applyAlignment="1">
      <alignment horizontal="center"/>
    </xf>
    <xf numFmtId="174" fontId="13" fillId="34" borderId="0" xfId="0" applyNumberFormat="1" applyFont="1" applyFill="1" applyBorder="1" applyAlignment="1">
      <alignment horizontal="center"/>
    </xf>
    <xf numFmtId="174" fontId="37" fillId="37" borderId="0" xfId="0" applyNumberFormat="1" applyFont="1" applyFill="1" applyAlignment="1">
      <alignment horizontal="center"/>
    </xf>
    <xf numFmtId="174" fontId="61" fillId="38" borderId="0" xfId="0" applyNumberFormat="1" applyFont="1" applyFill="1" applyBorder="1" applyAlignment="1">
      <alignment horizontal="center"/>
    </xf>
    <xf numFmtId="174" fontId="37" fillId="37" borderId="0" xfId="0" applyNumberFormat="1" applyFont="1" applyFill="1" applyBorder="1" applyAlignment="1">
      <alignment horizontal="center"/>
    </xf>
    <xf numFmtId="10" fontId="4" fillId="0" borderId="0" xfId="0" applyNumberFormat="1" applyFont="1" applyFill="1" applyAlignment="1">
      <alignment horizontal="center"/>
    </xf>
    <xf numFmtId="4" fontId="4" fillId="0" borderId="0" xfId="0" applyNumberFormat="1" applyFont="1" applyFill="1" applyAlignment="1">
      <alignment horizontal="center"/>
    </xf>
    <xf numFmtId="2" fontId="21" fillId="0" borderId="0" xfId="0" applyNumberFormat="1" applyFont="1" applyFill="1" applyAlignment="1">
      <alignment/>
    </xf>
    <xf numFmtId="0" fontId="56" fillId="35" borderId="10" xfId="0" applyFont="1" applyFill="1" applyBorder="1" applyAlignment="1">
      <alignment horizontal="right"/>
    </xf>
    <xf numFmtId="0" fontId="56" fillId="35" borderId="0" xfId="0" applyFont="1" applyFill="1" applyAlignment="1">
      <alignment/>
    </xf>
    <xf numFmtId="178" fontId="57" fillId="35" borderId="0" xfId="0" applyNumberFormat="1" applyFont="1" applyFill="1" applyAlignment="1">
      <alignment horizontal="right"/>
    </xf>
    <xf numFmtId="178" fontId="56" fillId="35" borderId="0" xfId="0" applyNumberFormat="1" applyFont="1" applyFill="1" applyAlignment="1">
      <alignment/>
    </xf>
    <xf numFmtId="178" fontId="56" fillId="35" borderId="0" xfId="0" applyNumberFormat="1" applyFont="1" applyFill="1" applyAlignment="1">
      <alignment horizontal="right"/>
    </xf>
    <xf numFmtId="178" fontId="85" fillId="35" borderId="0" xfId="0" applyNumberFormat="1" applyFont="1" applyFill="1" applyAlignment="1">
      <alignment horizontal="right"/>
    </xf>
    <xf numFmtId="10" fontId="56" fillId="35" borderId="0" xfId="0" applyNumberFormat="1" applyFont="1" applyFill="1" applyAlignment="1">
      <alignment horizontal="right"/>
    </xf>
    <xf numFmtId="180" fontId="56" fillId="35" borderId="0" xfId="0" applyNumberFormat="1" applyFont="1" applyFill="1" applyAlignment="1">
      <alignment horizontal="right"/>
    </xf>
    <xf numFmtId="174" fontId="20" fillId="0" borderId="0" xfId="0" applyNumberFormat="1" applyFont="1" applyFill="1" applyAlignment="1">
      <alignment horizontal="center"/>
    </xf>
    <xf numFmtId="2" fontId="56" fillId="35" borderId="0" xfId="0" applyNumberFormat="1" applyFont="1" applyFill="1" applyAlignment="1">
      <alignment horizontal="center"/>
    </xf>
    <xf numFmtId="2" fontId="20" fillId="35" borderId="0" xfId="0" applyNumberFormat="1" applyFont="1" applyFill="1" applyAlignment="1">
      <alignment horizontal="center"/>
    </xf>
    <xf numFmtId="2" fontId="20" fillId="35" borderId="0" xfId="0" applyNumberFormat="1" applyFont="1" applyFill="1" applyBorder="1" applyAlignment="1">
      <alignment horizontal="center"/>
    </xf>
    <xf numFmtId="2" fontId="57" fillId="35" borderId="0" xfId="0" applyNumberFormat="1" applyFont="1" applyFill="1" applyAlignment="1">
      <alignment horizontal="center"/>
    </xf>
    <xf numFmtId="0" fontId="6" fillId="0" borderId="0" xfId="0" applyFont="1" applyAlignment="1">
      <alignment horizontal="right"/>
    </xf>
    <xf numFmtId="177" fontId="0" fillId="0" borderId="0" xfId="0" applyNumberFormat="1" applyFill="1" applyAlignment="1">
      <alignment/>
    </xf>
    <xf numFmtId="0" fontId="0" fillId="0" borderId="0" xfId="0" applyFill="1" applyBorder="1" applyAlignment="1">
      <alignment horizontal="center"/>
    </xf>
    <xf numFmtId="0" fontId="7" fillId="0" borderId="0" xfId="0" applyFont="1" applyFill="1" applyBorder="1" applyAlignment="1">
      <alignment horizontal="center"/>
    </xf>
    <xf numFmtId="174" fontId="7" fillId="0" borderId="0" xfId="0" applyNumberFormat="1" applyFont="1" applyFill="1" applyBorder="1" applyAlignment="1">
      <alignment horizontal="center"/>
    </xf>
    <xf numFmtId="174" fontId="4" fillId="0" borderId="0" xfId="0" applyNumberFormat="1" applyFont="1" applyFill="1" applyBorder="1" applyAlignment="1">
      <alignment horizontal="center"/>
    </xf>
    <xf numFmtId="0" fontId="70" fillId="0" borderId="0" xfId="0" applyFont="1" applyFill="1" applyBorder="1" applyAlignment="1">
      <alignment horizontal="center"/>
    </xf>
    <xf numFmtId="174" fontId="70"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 fontId="0" fillId="0" borderId="0" xfId="0" applyNumberFormat="1" applyFill="1" applyBorder="1" applyAlignment="1">
      <alignment/>
    </xf>
    <xf numFmtId="2" fontId="14" fillId="33" borderId="0" xfId="0" applyNumberFormat="1" applyFont="1" applyFill="1" applyAlignment="1">
      <alignment horizontal="center"/>
    </xf>
    <xf numFmtId="174" fontId="33" fillId="34" borderId="12" xfId="0" applyNumberFormat="1" applyFont="1" applyFill="1" applyBorder="1" applyAlignment="1">
      <alignment horizontal="center"/>
    </xf>
    <xf numFmtId="174" fontId="4" fillId="34" borderId="13" xfId="0" applyNumberFormat="1" applyFont="1" applyFill="1" applyBorder="1" applyAlignment="1">
      <alignment horizontal="center"/>
    </xf>
    <xf numFmtId="174" fontId="4" fillId="34" borderId="14" xfId="0" applyNumberFormat="1" applyFont="1" applyFill="1" applyBorder="1" applyAlignment="1">
      <alignment horizontal="center"/>
    </xf>
    <xf numFmtId="174" fontId="4" fillId="37" borderId="0" xfId="0" applyNumberFormat="1" applyFont="1" applyFill="1" applyAlignment="1">
      <alignment horizontal="center"/>
    </xf>
    <xf numFmtId="174" fontId="47" fillId="0" borderId="0" xfId="0" applyNumberFormat="1" applyFont="1" applyFill="1" applyAlignment="1">
      <alignment horizontal="center"/>
    </xf>
    <xf numFmtId="174" fontId="9" fillId="37" borderId="0" xfId="0" applyNumberFormat="1" applyFont="1" applyFill="1" applyBorder="1" applyAlignment="1">
      <alignment horizontal="center"/>
    </xf>
    <xf numFmtId="0" fontId="86" fillId="34" borderId="14" xfId="0" applyFont="1" applyFill="1" applyBorder="1" applyAlignment="1">
      <alignment/>
    </xf>
    <xf numFmtId="0" fontId="37" fillId="34" borderId="14" xfId="0" applyFont="1" applyFill="1" applyBorder="1" applyAlignment="1">
      <alignment horizontal="left"/>
    </xf>
    <xf numFmtId="0" fontId="37" fillId="34" borderId="0" xfId="0" applyFont="1" applyFill="1" applyBorder="1" applyAlignment="1">
      <alignment horizontal="center"/>
    </xf>
    <xf numFmtId="0" fontId="37" fillId="34" borderId="0" xfId="0" applyFont="1" applyFill="1" applyAlignment="1">
      <alignment horizontal="left"/>
    </xf>
    <xf numFmtId="0" fontId="37" fillId="34" borderId="0" xfId="0" applyFont="1" applyFill="1" applyAlignment="1">
      <alignment horizontal="center"/>
    </xf>
    <xf numFmtId="0" fontId="77" fillId="33" borderId="0" xfId="0" applyFont="1" applyFill="1" applyBorder="1" applyAlignment="1">
      <alignment/>
    </xf>
    <xf numFmtId="0" fontId="77" fillId="33" borderId="0" xfId="0" applyFont="1" applyFill="1" applyAlignment="1">
      <alignment/>
    </xf>
    <xf numFmtId="0" fontId="37" fillId="34" borderId="0" xfId="0" applyFont="1" applyFill="1" applyAlignment="1">
      <alignment/>
    </xf>
    <xf numFmtId="3" fontId="87" fillId="33" borderId="0" xfId="0" applyNumberFormat="1" applyFont="1" applyFill="1" applyAlignment="1">
      <alignment horizontal="center"/>
    </xf>
    <xf numFmtId="174" fontId="87" fillId="33" borderId="0" xfId="0" applyNumberFormat="1" applyFont="1" applyFill="1" applyAlignment="1">
      <alignment horizontal="center"/>
    </xf>
    <xf numFmtId="174" fontId="23" fillId="33" borderId="0" xfId="0" applyNumberFormat="1" applyFont="1" applyFill="1" applyAlignment="1">
      <alignment horizontal="center"/>
    </xf>
    <xf numFmtId="174" fontId="23" fillId="33" borderId="0" xfId="0" applyNumberFormat="1" applyFont="1" applyFill="1" applyBorder="1" applyAlignment="1">
      <alignment horizontal="center"/>
    </xf>
    <xf numFmtId="174" fontId="87" fillId="33" borderId="0" xfId="0" applyNumberFormat="1" applyFont="1" applyFill="1" applyBorder="1" applyAlignment="1">
      <alignment horizontal="center" wrapText="1"/>
    </xf>
    <xf numFmtId="3" fontId="23" fillId="33" borderId="0" xfId="0" applyNumberFormat="1" applyFont="1" applyFill="1" applyAlignment="1">
      <alignment horizontal="center"/>
    </xf>
    <xf numFmtId="175" fontId="87" fillId="33" borderId="0" xfId="0" applyNumberFormat="1" applyFont="1" applyFill="1" applyBorder="1" applyAlignment="1">
      <alignment horizontal="center" wrapText="1"/>
    </xf>
    <xf numFmtId="174" fontId="88" fillId="33" borderId="0" xfId="0" applyNumberFormat="1" applyFont="1" applyFill="1" applyAlignment="1">
      <alignment/>
    </xf>
    <xf numFmtId="0" fontId="87" fillId="33" borderId="0" xfId="0" applyFont="1" applyFill="1" applyAlignment="1">
      <alignment horizontal="center"/>
    </xf>
    <xf numFmtId="175" fontId="37" fillId="33" borderId="0" xfId="0" applyNumberFormat="1" applyFont="1" applyFill="1" applyBorder="1" applyAlignment="1">
      <alignment horizontal="center" wrapText="1"/>
    </xf>
    <xf numFmtId="174" fontId="23" fillId="33" borderId="0" xfId="0" applyNumberFormat="1" applyFont="1" applyFill="1" applyAlignment="1">
      <alignment/>
    </xf>
    <xf numFmtId="174" fontId="87" fillId="33" borderId="0" xfId="0" applyNumberFormat="1" applyFont="1" applyFill="1" applyBorder="1" applyAlignment="1">
      <alignment horizontal="center"/>
    </xf>
    <xf numFmtId="174" fontId="87" fillId="39" borderId="0" xfId="0" applyNumberFormat="1" applyFont="1" applyFill="1" applyAlignment="1">
      <alignment horizontal="center"/>
    </xf>
    <xf numFmtId="174" fontId="23" fillId="39" borderId="0" xfId="0" applyNumberFormat="1" applyFont="1" applyFill="1" applyAlignment="1">
      <alignment horizontal="center"/>
    </xf>
    <xf numFmtId="174" fontId="23" fillId="39" borderId="0" xfId="0" applyNumberFormat="1" applyFont="1" applyFill="1" applyAlignment="1">
      <alignment/>
    </xf>
    <xf numFmtId="3" fontId="87" fillId="39" borderId="0" xfId="0" applyNumberFormat="1" applyFont="1" applyFill="1" applyAlignment="1">
      <alignment horizontal="center"/>
    </xf>
    <xf numFmtId="0" fontId="9" fillId="34" borderId="0" xfId="0" applyFont="1" applyFill="1" applyAlignment="1">
      <alignment horizontal="center"/>
    </xf>
    <xf numFmtId="1" fontId="37" fillId="34" borderId="0" xfId="0" applyNumberFormat="1" applyFont="1" applyFill="1" applyAlignment="1">
      <alignment horizontal="center"/>
    </xf>
    <xf numFmtId="2" fontId="87" fillId="33" borderId="0" xfId="0" applyNumberFormat="1" applyFont="1" applyFill="1" applyAlignment="1">
      <alignment horizontal="center"/>
    </xf>
    <xf numFmtId="0" fontId="71" fillId="0" borderId="0" xfId="0" applyFont="1" applyAlignment="1" quotePrefix="1">
      <alignment horizontal="left"/>
    </xf>
    <xf numFmtId="0" fontId="37" fillId="34" borderId="14" xfId="0" applyFont="1" applyFill="1" applyBorder="1" applyAlignment="1" quotePrefix="1">
      <alignment horizontal="center"/>
    </xf>
    <xf numFmtId="0" fontId="5" fillId="0" borderId="0" xfId="0" applyFont="1" applyAlignment="1" quotePrefix="1">
      <alignment horizontal="left"/>
    </xf>
    <xf numFmtId="0" fontId="86" fillId="34" borderId="0" xfId="0" applyFont="1" applyFill="1" applyBorder="1" applyAlignment="1">
      <alignment/>
    </xf>
    <xf numFmtId="0" fontId="37" fillId="34" borderId="0" xfId="0" applyFont="1" applyFill="1" applyBorder="1" applyAlignment="1" quotePrefix="1">
      <alignment horizontal="center"/>
    </xf>
    <xf numFmtId="174" fontId="42" fillId="33" borderId="0" xfId="0" applyNumberFormat="1" applyFont="1" applyFill="1" applyAlignment="1">
      <alignment horizontal="center"/>
    </xf>
    <xf numFmtId="0" fontId="89" fillId="34" borderId="0" xfId="0" applyFont="1" applyFill="1" applyAlignment="1" quotePrefix="1">
      <alignment horizontal="left"/>
    </xf>
    <xf numFmtId="0" fontId="55" fillId="35" borderId="10" xfId="0" applyFont="1" applyFill="1" applyBorder="1" applyAlignment="1" quotePrefix="1">
      <alignment horizontal="left"/>
    </xf>
    <xf numFmtId="0" fontId="9" fillId="34" borderId="10" xfId="0" applyFont="1" applyFill="1" applyBorder="1" applyAlignment="1">
      <alignment/>
    </xf>
    <xf numFmtId="0" fontId="23" fillId="33" borderId="0" xfId="0" applyFont="1" applyFill="1" applyAlignment="1">
      <alignment/>
    </xf>
    <xf numFmtId="0" fontId="23" fillId="39" borderId="0" xfId="0" applyFont="1" applyFill="1" applyAlignment="1">
      <alignment horizontal="center"/>
    </xf>
    <xf numFmtId="0" fontId="87" fillId="33" borderId="0" xfId="0" applyFont="1" applyFill="1" applyAlignment="1">
      <alignment/>
    </xf>
    <xf numFmtId="0" fontId="23" fillId="33" borderId="0" xfId="0" applyFont="1" applyFill="1" applyBorder="1" applyAlignment="1">
      <alignment/>
    </xf>
    <xf numFmtId="3" fontId="62" fillId="0" borderId="0" xfId="0" applyNumberFormat="1" applyFont="1" applyFill="1" applyAlignment="1">
      <alignment horizontal="center"/>
    </xf>
    <xf numFmtId="177" fontId="62" fillId="0" borderId="0" xfId="0" applyNumberFormat="1" applyFont="1" applyFill="1" applyAlignment="1">
      <alignment horizontal="center"/>
    </xf>
    <xf numFmtId="4" fontId="20" fillId="0" borderId="0" xfId="0" applyNumberFormat="1" applyFont="1" applyFill="1" applyAlignment="1">
      <alignment horizontal="center"/>
    </xf>
    <xf numFmtId="0" fontId="20" fillId="0" borderId="0" xfId="0" applyFont="1" applyFill="1" applyAlignment="1">
      <alignment/>
    </xf>
    <xf numFmtId="0" fontId="3" fillId="0" borderId="0" xfId="0" applyFont="1" applyFill="1" applyAlignment="1">
      <alignment/>
    </xf>
    <xf numFmtId="0" fontId="86" fillId="0" borderId="0" xfId="0" applyFont="1" applyFill="1" applyAlignment="1">
      <alignment/>
    </xf>
    <xf numFmtId="0" fontId="17" fillId="34" borderId="0" xfId="0" applyFont="1" applyFill="1" applyBorder="1" applyAlignment="1" quotePrefix="1">
      <alignment horizontal="left"/>
    </xf>
    <xf numFmtId="0" fontId="0" fillId="34" borderId="0" xfId="0" applyFill="1" applyAlignment="1">
      <alignment/>
    </xf>
    <xf numFmtId="0" fontId="37" fillId="34" borderId="0" xfId="0" applyFont="1" applyFill="1" applyBorder="1" applyAlignment="1">
      <alignment horizontal="left"/>
    </xf>
    <xf numFmtId="0" fontId="17" fillId="34" borderId="14" xfId="0" applyFont="1" applyFill="1" applyBorder="1" applyAlignment="1" quotePrefix="1">
      <alignment horizontal="left"/>
    </xf>
    <xf numFmtId="0" fontId="29" fillId="0" borderId="0" xfId="0" applyFont="1" applyAlignment="1">
      <alignment horizontal="center"/>
    </xf>
    <xf numFmtId="0" fontId="1" fillId="0" borderId="0" xfId="42" applyAlignment="1" applyProtection="1" quotePrefix="1">
      <alignment horizontal="left"/>
      <protection/>
    </xf>
    <xf numFmtId="0" fontId="0" fillId="34" borderId="14" xfId="0" applyFill="1" applyBorder="1" applyAlignment="1">
      <alignment/>
    </xf>
    <xf numFmtId="0" fontId="77" fillId="0" borderId="0" xfId="0" applyFont="1" applyFill="1" applyBorder="1" applyAlignment="1">
      <alignment/>
    </xf>
    <xf numFmtId="0" fontId="56" fillId="35" borderId="0" xfId="0" applyFont="1" applyFill="1" applyAlignment="1" quotePrefix="1">
      <alignment horizontal="left"/>
    </xf>
    <xf numFmtId="0" fontId="17" fillId="34" borderId="0" xfId="0" applyFont="1" applyFill="1" applyAlignment="1">
      <alignment/>
    </xf>
    <xf numFmtId="0" fontId="37" fillId="34" borderId="0" xfId="0" applyFont="1" applyFill="1" applyAlignment="1" quotePrefix="1">
      <alignment horizontal="left"/>
    </xf>
    <xf numFmtId="3" fontId="23" fillId="39" borderId="0" xfId="0" applyNumberFormat="1" applyFont="1" applyFill="1" applyAlignment="1">
      <alignment horizontal="center"/>
    </xf>
    <xf numFmtId="4" fontId="23" fillId="39" borderId="0" xfId="0" applyNumberFormat="1" applyFont="1" applyFill="1" applyAlignment="1">
      <alignment horizontal="center"/>
    </xf>
    <xf numFmtId="175" fontId="23" fillId="33" borderId="0" xfId="0" applyNumberFormat="1" applyFont="1" applyFill="1" applyAlignment="1">
      <alignment horizontal="center"/>
    </xf>
    <xf numFmtId="174" fontId="23" fillId="34" borderId="0" xfId="0" applyNumberFormat="1" applyFont="1" applyFill="1" applyAlignment="1">
      <alignment horizontal="center"/>
    </xf>
    <xf numFmtId="0" fontId="23" fillId="0" borderId="0" xfId="0" applyFont="1" applyAlignment="1">
      <alignment horizontal="left"/>
    </xf>
    <xf numFmtId="0" fontId="23" fillId="0" borderId="0" xfId="0" applyFont="1" applyAlignment="1">
      <alignment horizontal="center"/>
    </xf>
    <xf numFmtId="0" fontId="17" fillId="34" borderId="0" xfId="0" applyFont="1" applyFill="1" applyAlignment="1" quotePrefix="1">
      <alignment horizontal="left"/>
    </xf>
    <xf numFmtId="175" fontId="23" fillId="39" borderId="0" xfId="0" applyNumberFormat="1" applyFont="1" applyFill="1" applyAlignment="1">
      <alignment horizontal="center"/>
    </xf>
    <xf numFmtId="175" fontId="23" fillId="39" borderId="0" xfId="0" applyNumberFormat="1" applyFont="1" applyFill="1" applyAlignment="1">
      <alignment/>
    </xf>
    <xf numFmtId="1" fontId="39" fillId="33" borderId="0" xfId="0" applyNumberFormat="1" applyFont="1" applyFill="1" applyAlignment="1">
      <alignment horizontal="center"/>
    </xf>
    <xf numFmtId="0" fontId="86" fillId="0" borderId="0" xfId="0" applyFont="1" applyFill="1" applyBorder="1" applyAlignment="1">
      <alignment/>
    </xf>
    <xf numFmtId="0" fontId="23" fillId="33" borderId="0" xfId="0" applyFont="1" applyFill="1" applyAlignment="1">
      <alignment horizontal="center"/>
    </xf>
    <xf numFmtId="0" fontId="17" fillId="34" borderId="0" xfId="0" applyFont="1" applyFill="1" applyBorder="1" applyAlignment="1">
      <alignment/>
    </xf>
    <xf numFmtId="10" fontId="23" fillId="33" borderId="0" xfId="0" applyNumberFormat="1" applyFont="1" applyFill="1" applyAlignment="1">
      <alignment horizontal="center"/>
    </xf>
    <xf numFmtId="10" fontId="23" fillId="39" borderId="0" xfId="0" applyNumberFormat="1" applyFont="1" applyFill="1" applyAlignment="1">
      <alignment horizontal="center"/>
    </xf>
    <xf numFmtId="3" fontId="23" fillId="33" borderId="0" xfId="0" applyNumberFormat="1" applyFont="1" applyFill="1" applyBorder="1" applyAlignment="1">
      <alignment horizontal="center" vertical="top"/>
    </xf>
    <xf numFmtId="0" fontId="63" fillId="35" borderId="0" xfId="0" applyFont="1" applyFill="1" applyAlignment="1" quotePrefix="1">
      <alignment horizontal="left"/>
    </xf>
    <xf numFmtId="0" fontId="64" fillId="35" borderId="10" xfId="0" applyFont="1" applyFill="1" applyBorder="1" applyAlignment="1" quotePrefix="1">
      <alignment horizontal="left"/>
    </xf>
    <xf numFmtId="0" fontId="12" fillId="35" borderId="0" xfId="0" applyFont="1" applyFill="1" applyAlignment="1" quotePrefix="1">
      <alignment horizontal="left"/>
    </xf>
    <xf numFmtId="0" fontId="37" fillId="34" borderId="10" xfId="0" applyFont="1" applyFill="1" applyBorder="1" applyAlignment="1" quotePrefix="1">
      <alignment horizontal="left"/>
    </xf>
    <xf numFmtId="0" fontId="17" fillId="34" borderId="10" xfId="0" applyFont="1" applyFill="1" applyBorder="1" applyAlignment="1">
      <alignment horizontal="left"/>
    </xf>
    <xf numFmtId="174" fontId="87" fillId="34" borderId="0" xfId="0" applyNumberFormat="1" applyFont="1" applyFill="1" applyAlignment="1">
      <alignment horizontal="center"/>
    </xf>
    <xf numFmtId="175" fontId="87" fillId="34" borderId="0" xfId="0" applyNumberFormat="1" applyFont="1" applyFill="1" applyAlignment="1">
      <alignment horizontal="center"/>
    </xf>
    <xf numFmtId="0" fontId="88" fillId="34" borderId="0" xfId="0" applyFont="1" applyFill="1" applyAlignment="1">
      <alignment/>
    </xf>
    <xf numFmtId="174" fontId="23" fillId="34" borderId="0" xfId="0" applyNumberFormat="1" applyFont="1" applyFill="1" applyAlignment="1">
      <alignment/>
    </xf>
    <xf numFmtId="0" fontId="88" fillId="0" borderId="0" xfId="0" applyFont="1" applyAlignment="1">
      <alignment/>
    </xf>
    <xf numFmtId="1" fontId="87" fillId="0" borderId="0" xfId="0" applyNumberFormat="1" applyFont="1" applyFill="1" applyAlignment="1">
      <alignment/>
    </xf>
    <xf numFmtId="0" fontId="61" fillId="0" borderId="0" xfId="0" applyFont="1" applyFill="1" applyAlignment="1">
      <alignment horizontal="center"/>
    </xf>
    <xf numFmtId="4" fontId="61" fillId="0" borderId="0" xfId="0" applyNumberFormat="1" applyFont="1" applyFill="1" applyAlignment="1">
      <alignment horizontal="center"/>
    </xf>
    <xf numFmtId="0" fontId="92" fillId="0" borderId="0" xfId="0" applyFont="1" applyFill="1" applyAlignment="1">
      <alignment/>
    </xf>
    <xf numFmtId="2" fontId="92" fillId="0" borderId="0" xfId="0" applyNumberFormat="1" applyFont="1" applyFill="1" applyAlignment="1">
      <alignment/>
    </xf>
    <xf numFmtId="3" fontId="23" fillId="0" borderId="0" xfId="0" applyNumberFormat="1" applyFont="1" applyFill="1" applyAlignment="1">
      <alignment/>
    </xf>
    <xf numFmtId="1" fontId="87" fillId="0" borderId="0" xfId="0" applyNumberFormat="1" applyFont="1" applyAlignment="1">
      <alignment/>
    </xf>
    <xf numFmtId="0" fontId="92" fillId="33" borderId="0" xfId="0" applyFont="1" applyFill="1" applyAlignment="1">
      <alignment horizontal="center"/>
    </xf>
    <xf numFmtId="2" fontId="92" fillId="33" borderId="0" xfId="0" applyNumberFormat="1" applyFont="1" applyFill="1" applyAlignment="1">
      <alignment horizontal="center"/>
    </xf>
    <xf numFmtId="174" fontId="91" fillId="33" borderId="0" xfId="0" applyNumberFormat="1" applyFont="1" applyFill="1" applyAlignment="1">
      <alignment horizontal="center"/>
    </xf>
    <xf numFmtId="174" fontId="61" fillId="33" borderId="0" xfId="0" applyNumberFormat="1" applyFont="1" applyFill="1" applyAlignment="1">
      <alignment horizontal="center"/>
    </xf>
    <xf numFmtId="174" fontId="23" fillId="40" borderId="0" xfId="0" applyNumberFormat="1" applyFont="1" applyFill="1" applyAlignment="1">
      <alignment horizontal="center"/>
    </xf>
    <xf numFmtId="0" fontId="8" fillId="34" borderId="0" xfId="0" applyFont="1" applyFill="1" applyBorder="1" applyAlignment="1">
      <alignment horizontal="center"/>
    </xf>
    <xf numFmtId="174" fontId="9" fillId="34" borderId="12" xfId="0" applyNumberFormat="1" applyFont="1" applyFill="1" applyBorder="1" applyAlignment="1">
      <alignment horizontal="center"/>
    </xf>
    <xf numFmtId="0" fontId="86" fillId="0" borderId="0" xfId="0" applyFont="1" applyAlignment="1">
      <alignment/>
    </xf>
    <xf numFmtId="0" fontId="9" fillId="0" borderId="0" xfId="0" applyFont="1" applyFill="1" applyAlignment="1">
      <alignment/>
    </xf>
    <xf numFmtId="180" fontId="9" fillId="0" borderId="0" xfId="0" applyNumberFormat="1" applyFont="1" applyFill="1" applyBorder="1" applyAlignment="1">
      <alignment horizontal="center"/>
    </xf>
    <xf numFmtId="2" fontId="37" fillId="34" borderId="0" xfId="0" applyNumberFormat="1" applyFont="1" applyFill="1" applyAlignment="1">
      <alignment horizontal="center"/>
    </xf>
    <xf numFmtId="4" fontId="87" fillId="33" borderId="0" xfId="0" applyNumberFormat="1" applyFont="1" applyFill="1" applyAlignment="1">
      <alignment horizontal="center"/>
    </xf>
    <xf numFmtId="4" fontId="87" fillId="39" borderId="0" xfId="0" applyNumberFormat="1" applyFont="1" applyFill="1" applyAlignment="1">
      <alignment horizontal="center"/>
    </xf>
    <xf numFmtId="0" fontId="40" fillId="0" borderId="0" xfId="0" applyFont="1" applyFill="1" applyBorder="1" applyAlignment="1">
      <alignment horizontal="center"/>
    </xf>
    <xf numFmtId="1" fontId="37" fillId="34" borderId="0" xfId="0" applyNumberFormat="1" applyFont="1" applyFill="1" applyAlignment="1" quotePrefix="1">
      <alignment horizontal="center"/>
    </xf>
    <xf numFmtId="0" fontId="20" fillId="0" borderId="0" xfId="0" applyFont="1" applyAlignment="1" quotePrefix="1">
      <alignment horizontal="center"/>
    </xf>
    <xf numFmtId="3" fontId="12" fillId="34" borderId="0" xfId="0" applyNumberFormat="1" applyFont="1" applyFill="1" applyBorder="1" applyAlignment="1">
      <alignment horizontal="center"/>
    </xf>
    <xf numFmtId="0" fontId="26" fillId="34" borderId="0" xfId="0" applyFont="1" applyFill="1" applyAlignment="1">
      <alignment/>
    </xf>
    <xf numFmtId="2" fontId="4" fillId="34" borderId="15" xfId="0" applyNumberFormat="1" applyFont="1" applyFill="1" applyBorder="1" applyAlignment="1">
      <alignment horizontal="center"/>
    </xf>
    <xf numFmtId="1" fontId="61" fillId="0" borderId="0" xfId="0" applyNumberFormat="1" applyFont="1" applyAlignment="1">
      <alignment horizontal="center"/>
    </xf>
    <xf numFmtId="1" fontId="23" fillId="0" borderId="0" xfId="0" applyNumberFormat="1" applyFont="1" applyFill="1" applyBorder="1" applyAlignment="1">
      <alignment horizontal="center"/>
    </xf>
    <xf numFmtId="0" fontId="23" fillId="0" borderId="0" xfId="0" applyFont="1" applyFill="1" applyBorder="1" applyAlignment="1">
      <alignment horizontal="left"/>
    </xf>
    <xf numFmtId="0" fontId="20" fillId="0" borderId="0" xfId="0" applyFont="1" applyAlignment="1" quotePrefix="1">
      <alignment horizontal="left"/>
    </xf>
    <xf numFmtId="0" fontId="23" fillId="0" borderId="0" xfId="0" applyFont="1" applyFill="1" applyBorder="1" applyAlignment="1">
      <alignment/>
    </xf>
    <xf numFmtId="0" fontId="23" fillId="0" borderId="0" xfId="0" applyFont="1" applyFill="1" applyBorder="1" applyAlignment="1">
      <alignment horizontal="center"/>
    </xf>
    <xf numFmtId="174" fontId="23" fillId="0" borderId="0" xfId="0" applyNumberFormat="1" applyFont="1" applyFill="1" applyBorder="1" applyAlignment="1">
      <alignment horizontal="center"/>
    </xf>
    <xf numFmtId="2" fontId="23" fillId="0" borderId="0" xfId="0" applyNumberFormat="1" applyFont="1" applyFill="1" applyBorder="1" applyAlignment="1">
      <alignment horizontal="center"/>
    </xf>
    <xf numFmtId="0" fontId="23" fillId="0" borderId="0" xfId="0" applyFont="1" applyBorder="1" applyAlignment="1">
      <alignment horizontal="center"/>
    </xf>
    <xf numFmtId="174" fontId="23" fillId="0" borderId="0" xfId="0" applyNumberFormat="1" applyFont="1" applyFill="1" applyBorder="1" applyAlignment="1">
      <alignment horizontal="left"/>
    </xf>
    <xf numFmtId="2" fontId="23" fillId="0" borderId="0" xfId="0" applyNumberFormat="1" applyFont="1" applyFill="1" applyBorder="1" applyAlignment="1">
      <alignment horizontal="left"/>
    </xf>
    <xf numFmtId="174" fontId="96" fillId="0" borderId="0" xfId="0" applyNumberFormat="1" applyFont="1" applyFill="1" applyBorder="1" applyAlignment="1">
      <alignment horizontal="left"/>
    </xf>
    <xf numFmtId="0" fontId="37" fillId="35" borderId="0" xfId="0" applyFont="1" applyFill="1" applyAlignment="1">
      <alignment horizontal="center"/>
    </xf>
    <xf numFmtId="0" fontId="37" fillId="35" borderId="16" xfId="0" applyFont="1" applyFill="1" applyBorder="1" applyAlignment="1">
      <alignment/>
    </xf>
    <xf numFmtId="0" fontId="37" fillId="35" borderId="0" xfId="0" applyFont="1" applyFill="1" applyAlignment="1">
      <alignment/>
    </xf>
    <xf numFmtId="0" fontId="37" fillId="35" borderId="0" xfId="0" applyFont="1" applyFill="1" applyBorder="1" applyAlignment="1">
      <alignment/>
    </xf>
    <xf numFmtId="178" fontId="37" fillId="35" borderId="17" xfId="0" applyNumberFormat="1" applyFont="1" applyFill="1" applyBorder="1" applyAlignment="1">
      <alignment horizontal="left"/>
    </xf>
    <xf numFmtId="0" fontId="37" fillId="35" borderId="0" xfId="0" applyFont="1" applyFill="1" applyBorder="1" applyAlignment="1">
      <alignment horizontal="left"/>
    </xf>
    <xf numFmtId="0" fontId="37" fillId="35" borderId="0" xfId="0" applyFont="1" applyFill="1" applyBorder="1" applyAlignment="1" quotePrefix="1">
      <alignment horizontal="left"/>
    </xf>
    <xf numFmtId="0" fontId="37" fillId="35" borderId="0" xfId="0" applyFont="1" applyFill="1" applyAlignment="1">
      <alignment horizontal="left"/>
    </xf>
    <xf numFmtId="0" fontId="77" fillId="35" borderId="14" xfId="0" applyFont="1" applyFill="1" applyBorder="1" applyAlignment="1">
      <alignment/>
    </xf>
    <xf numFmtId="0" fontId="77" fillId="35" borderId="14" xfId="0" applyFont="1" applyFill="1" applyBorder="1" applyAlignment="1">
      <alignment horizontal="center"/>
    </xf>
    <xf numFmtId="0" fontId="77" fillId="35" borderId="18" xfId="0" applyFont="1" applyFill="1" applyBorder="1" applyAlignment="1">
      <alignment/>
    </xf>
    <xf numFmtId="0" fontId="47" fillId="0" borderId="0" xfId="0" applyFont="1" applyFill="1" applyBorder="1" applyAlignment="1">
      <alignment horizontal="center"/>
    </xf>
    <xf numFmtId="2" fontId="62" fillId="35" borderId="0" xfId="0" applyNumberFormat="1" applyFont="1" applyFill="1" applyBorder="1" applyAlignment="1">
      <alignment horizontal="center"/>
    </xf>
    <xf numFmtId="176" fontId="20" fillId="0" borderId="0" xfId="0" applyNumberFormat="1" applyFont="1" applyBorder="1" applyAlignment="1">
      <alignment horizontal="left"/>
    </xf>
    <xf numFmtId="0" fontId="18" fillId="0" borderId="0" xfId="0" applyFont="1" applyBorder="1" applyAlignment="1" quotePrefix="1">
      <alignment horizontal="left"/>
    </xf>
    <xf numFmtId="182" fontId="20" fillId="0" borderId="0" xfId="58" applyNumberFormat="1" applyFont="1" applyAlignment="1">
      <alignment/>
    </xf>
    <xf numFmtId="177" fontId="37" fillId="35" borderId="17" xfId="0" applyNumberFormat="1" applyFont="1" applyFill="1" applyBorder="1" applyAlignment="1">
      <alignment horizontal="left"/>
    </xf>
    <xf numFmtId="0" fontId="37" fillId="35" borderId="14" xfId="0" applyFont="1" applyFill="1" applyBorder="1" applyAlignment="1">
      <alignment horizontal="left"/>
    </xf>
    <xf numFmtId="2" fontId="37" fillId="35" borderId="14" xfId="0" applyNumberFormat="1" applyFont="1" applyFill="1" applyBorder="1" applyAlignment="1">
      <alignment horizontal="left"/>
    </xf>
    <xf numFmtId="4" fontId="37" fillId="35" borderId="17" xfId="0" applyNumberFormat="1" applyFont="1" applyFill="1" applyBorder="1" applyAlignment="1">
      <alignment horizontal="left"/>
    </xf>
    <xf numFmtId="0" fontId="13" fillId="0" borderId="0" xfId="0" applyFont="1" applyAlignment="1">
      <alignment/>
    </xf>
    <xf numFmtId="0" fontId="13" fillId="0" borderId="0" xfId="0" applyFont="1" applyBorder="1" applyAlignment="1">
      <alignment horizontal="center"/>
    </xf>
    <xf numFmtId="174" fontId="13" fillId="0" borderId="0" xfId="0" applyNumberFormat="1" applyFont="1" applyFill="1" applyBorder="1" applyAlignment="1">
      <alignment horizontal="center"/>
    </xf>
    <xf numFmtId="174" fontId="13" fillId="0" borderId="0" xfId="0" applyNumberFormat="1" applyFont="1" applyAlignment="1">
      <alignment horizontal="center"/>
    </xf>
    <xf numFmtId="2" fontId="13" fillId="0" borderId="0" xfId="0" applyNumberFormat="1" applyFont="1" applyFill="1" applyAlignment="1">
      <alignment horizontal="center"/>
    </xf>
    <xf numFmtId="2" fontId="13" fillId="0" borderId="0" xfId="0" applyNumberFormat="1" applyFont="1" applyFill="1" applyAlignment="1">
      <alignment/>
    </xf>
    <xf numFmtId="2" fontId="25" fillId="0" borderId="0" xfId="0" applyNumberFormat="1" applyFont="1" applyFill="1" applyBorder="1" applyAlignment="1">
      <alignment horizontal="right"/>
    </xf>
    <xf numFmtId="0" fontId="99" fillId="35" borderId="0" xfId="0" applyFont="1" applyFill="1" applyAlignment="1">
      <alignment horizontal="left"/>
    </xf>
    <xf numFmtId="175" fontId="99" fillId="35" borderId="0" xfId="15" applyNumberFormat="1" applyFont="1" applyFill="1" applyBorder="1" applyAlignment="1">
      <alignment horizontal="right"/>
    </xf>
    <xf numFmtId="181" fontId="99" fillId="35" borderId="0" xfId="0" applyNumberFormat="1" applyFont="1" applyFill="1" applyAlignment="1">
      <alignment/>
    </xf>
    <xf numFmtId="0" fontId="100" fillId="35" borderId="0" xfId="0" applyFont="1" applyFill="1" applyAlignment="1">
      <alignment horizontal="left"/>
    </xf>
    <xf numFmtId="175" fontId="100" fillId="35" borderId="0" xfId="15" applyNumberFormat="1" applyFont="1" applyFill="1" applyBorder="1" applyAlignment="1">
      <alignment horizontal="right"/>
    </xf>
    <xf numFmtId="181" fontId="100" fillId="35" borderId="0" xfId="0" applyNumberFormat="1" applyFont="1" applyFill="1" applyAlignment="1">
      <alignment/>
    </xf>
    <xf numFmtId="0" fontId="53" fillId="0" borderId="0" xfId="0" applyFont="1" applyFill="1" applyAlignment="1">
      <alignment/>
    </xf>
    <xf numFmtId="0" fontId="112" fillId="0" borderId="0" xfId="0" applyFont="1" applyFill="1" applyAlignment="1">
      <alignment horizontal="right"/>
    </xf>
    <xf numFmtId="0" fontId="77" fillId="34" borderId="18" xfId="0" applyFont="1" applyFill="1" applyBorder="1" applyAlignment="1">
      <alignment horizontal="left"/>
    </xf>
    <xf numFmtId="0" fontId="37" fillId="34" borderId="14" xfId="0" applyFont="1" applyFill="1" applyBorder="1" applyAlignment="1">
      <alignment horizontal="center"/>
    </xf>
    <xf numFmtId="0" fontId="37" fillId="41" borderId="14" xfId="0" applyFont="1" applyFill="1" applyBorder="1" applyAlignment="1">
      <alignment horizontal="center"/>
    </xf>
    <xf numFmtId="0" fontId="37" fillId="41" borderId="18" xfId="0" applyFont="1" applyFill="1" applyBorder="1" applyAlignment="1">
      <alignment horizontal="center"/>
    </xf>
    <xf numFmtId="0" fontId="88" fillId="34" borderId="0" xfId="0" applyFont="1" applyFill="1" applyBorder="1" applyAlignment="1">
      <alignment/>
    </xf>
    <xf numFmtId="0" fontId="102" fillId="34" borderId="0" xfId="0" applyFont="1" applyFill="1" applyBorder="1" applyAlignment="1">
      <alignment/>
    </xf>
    <xf numFmtId="0" fontId="12" fillId="34" borderId="16" xfId="0" applyFont="1" applyFill="1" applyBorder="1" applyAlignment="1">
      <alignment horizontal="right"/>
    </xf>
    <xf numFmtId="10" fontId="12" fillId="34" borderId="0" xfId="0" applyNumberFormat="1" applyFont="1" applyFill="1" applyBorder="1" applyAlignment="1">
      <alignment horizontal="center"/>
    </xf>
    <xf numFmtId="10" fontId="20" fillId="34" borderId="0" xfId="0" applyNumberFormat="1" applyFont="1" applyFill="1" applyBorder="1" applyAlignment="1">
      <alignment horizontal="center"/>
    </xf>
    <xf numFmtId="10" fontId="20" fillId="41" borderId="0" xfId="0" applyNumberFormat="1" applyFont="1" applyFill="1" applyBorder="1" applyAlignment="1">
      <alignment horizontal="center"/>
    </xf>
    <xf numFmtId="10" fontId="20" fillId="41" borderId="19" xfId="0" applyNumberFormat="1" applyFont="1" applyFill="1" applyBorder="1" applyAlignment="1">
      <alignment horizontal="center"/>
    </xf>
    <xf numFmtId="0" fontId="0" fillId="34" borderId="0" xfId="0" applyFill="1" applyBorder="1" applyAlignment="1">
      <alignment/>
    </xf>
    <xf numFmtId="0" fontId="86" fillId="34" borderId="0" xfId="0" applyFont="1" applyFill="1" applyBorder="1" applyAlignment="1">
      <alignment/>
    </xf>
    <xf numFmtId="10" fontId="20" fillId="41" borderId="16" xfId="0" applyNumberFormat="1" applyFont="1" applyFill="1" applyBorder="1" applyAlignment="1">
      <alignment horizontal="center"/>
    </xf>
    <xf numFmtId="0" fontId="12" fillId="34" borderId="16" xfId="0" applyFont="1" applyFill="1" applyBorder="1" applyAlignment="1" quotePrefix="1">
      <alignment horizontal="right"/>
    </xf>
    <xf numFmtId="4" fontId="20" fillId="34" borderId="0" xfId="0" applyNumberFormat="1" applyFont="1" applyFill="1" applyBorder="1" applyAlignment="1">
      <alignment horizontal="center"/>
    </xf>
    <xf numFmtId="4" fontId="20" fillId="41" borderId="0" xfId="0" applyNumberFormat="1" applyFont="1" applyFill="1" applyBorder="1" applyAlignment="1">
      <alignment horizontal="center"/>
    </xf>
    <xf numFmtId="4" fontId="20" fillId="41" borderId="16" xfId="0" applyNumberFormat="1" applyFont="1" applyFill="1" applyBorder="1" applyAlignment="1">
      <alignment horizontal="center"/>
    </xf>
    <xf numFmtId="0" fontId="12" fillId="34" borderId="18" xfId="0" applyFont="1" applyFill="1" applyBorder="1" applyAlignment="1" quotePrefix="1">
      <alignment horizontal="right"/>
    </xf>
    <xf numFmtId="10" fontId="12" fillId="34" borderId="14" xfId="0" applyNumberFormat="1" applyFont="1" applyFill="1" applyBorder="1" applyAlignment="1">
      <alignment horizontal="center"/>
    </xf>
    <xf numFmtId="10" fontId="20" fillId="34" borderId="14" xfId="0" applyNumberFormat="1" applyFont="1" applyFill="1" applyBorder="1" applyAlignment="1">
      <alignment horizontal="center"/>
    </xf>
    <xf numFmtId="10" fontId="20" fillId="41" borderId="14" xfId="0" applyNumberFormat="1" applyFont="1" applyFill="1" applyBorder="1" applyAlignment="1">
      <alignment horizontal="center"/>
    </xf>
    <xf numFmtId="10" fontId="20" fillId="41" borderId="18" xfId="0" applyNumberFormat="1" applyFont="1" applyFill="1" applyBorder="1" applyAlignment="1">
      <alignment horizontal="center"/>
    </xf>
    <xf numFmtId="174" fontId="12" fillId="34" borderId="0" xfId="0" applyNumberFormat="1" applyFont="1" applyFill="1" applyBorder="1" applyAlignment="1">
      <alignment horizontal="center"/>
    </xf>
    <xf numFmtId="174" fontId="20" fillId="34" borderId="0" xfId="0" applyNumberFormat="1" applyFont="1" applyFill="1" applyBorder="1" applyAlignment="1">
      <alignment horizontal="center"/>
    </xf>
    <xf numFmtId="174" fontId="20" fillId="41" borderId="0" xfId="0" applyNumberFormat="1" applyFont="1" applyFill="1" applyBorder="1" applyAlignment="1">
      <alignment horizontal="center"/>
    </xf>
    <xf numFmtId="174" fontId="20" fillId="41" borderId="16" xfId="0" applyNumberFormat="1" applyFont="1" applyFill="1" applyBorder="1" applyAlignment="1">
      <alignment horizontal="center"/>
    </xf>
    <xf numFmtId="2" fontId="20" fillId="34" borderId="0" xfId="0" applyNumberFormat="1" applyFont="1" applyFill="1" applyBorder="1" applyAlignment="1">
      <alignment horizontal="center"/>
    </xf>
    <xf numFmtId="2" fontId="20" fillId="41" borderId="0" xfId="0" applyNumberFormat="1" applyFont="1" applyFill="1" applyBorder="1" applyAlignment="1">
      <alignment horizontal="center"/>
    </xf>
    <xf numFmtId="2" fontId="20" fillId="41" borderId="16" xfId="0" applyNumberFormat="1" applyFont="1" applyFill="1" applyBorder="1" applyAlignment="1">
      <alignment horizontal="center"/>
    </xf>
    <xf numFmtId="0" fontId="8" fillId="34" borderId="16" xfId="0" applyFont="1" applyFill="1" applyBorder="1" applyAlignment="1" quotePrefix="1">
      <alignment horizontal="right"/>
    </xf>
    <xf numFmtId="4" fontId="87" fillId="0" borderId="0" xfId="0" applyNumberFormat="1" applyFont="1" applyFill="1" applyAlignment="1">
      <alignment horizontal="center"/>
    </xf>
    <xf numFmtId="0" fontId="14" fillId="41" borderId="14" xfId="0" applyFont="1" applyFill="1" applyBorder="1" applyAlignment="1">
      <alignment/>
    </xf>
    <xf numFmtId="1" fontId="20" fillId="41" borderId="14" xfId="0" applyNumberFormat="1" applyFont="1" applyFill="1" applyBorder="1" applyAlignment="1">
      <alignment horizontal="center"/>
    </xf>
    <xf numFmtId="1" fontId="36" fillId="34" borderId="14" xfId="0" applyNumberFormat="1" applyFont="1" applyFill="1" applyBorder="1" applyAlignment="1">
      <alignment horizontal="center"/>
    </xf>
    <xf numFmtId="49" fontId="20" fillId="0" borderId="0" xfId="0" applyNumberFormat="1" applyFont="1" applyAlignment="1" quotePrefix="1">
      <alignment horizontal="left"/>
    </xf>
    <xf numFmtId="0" fontId="103" fillId="34" borderId="0" xfId="0" applyFont="1" applyFill="1" applyAlignment="1">
      <alignment horizontal="center"/>
    </xf>
    <xf numFmtId="10" fontId="13" fillId="0" borderId="0" xfId="0" applyNumberFormat="1" applyFont="1" applyFill="1" applyAlignment="1">
      <alignment horizontal="right"/>
    </xf>
    <xf numFmtId="177" fontId="61" fillId="0" borderId="0" xfId="15" applyNumberFormat="1" applyFont="1" applyFill="1" applyAlignment="1">
      <alignment horizontal="center"/>
    </xf>
    <xf numFmtId="0" fontId="6" fillId="0" borderId="0" xfId="0" applyFont="1" applyFill="1" applyAlignment="1">
      <alignment horizontal="center"/>
    </xf>
    <xf numFmtId="0" fontId="13" fillId="0" borderId="0" xfId="0" applyFont="1" applyFill="1" applyAlignment="1">
      <alignment horizontal="right"/>
    </xf>
    <xf numFmtId="3" fontId="13" fillId="0" borderId="0" xfId="0" applyNumberFormat="1" applyFont="1" applyFill="1" applyBorder="1" applyAlignment="1">
      <alignment horizontal="center"/>
    </xf>
    <xf numFmtId="0" fontId="13" fillId="0" borderId="0" xfId="0" applyFont="1" applyFill="1" applyAlignment="1">
      <alignment/>
    </xf>
    <xf numFmtId="0" fontId="104" fillId="0" borderId="0" xfId="42" applyFont="1" applyAlignment="1" applyProtection="1" quotePrefix="1">
      <alignment horizontal="left"/>
      <protection/>
    </xf>
    <xf numFmtId="0" fontId="20" fillId="0" borderId="0" xfId="0" applyFont="1" applyAlignment="1">
      <alignment horizontal="center"/>
    </xf>
    <xf numFmtId="0" fontId="113" fillId="34" borderId="10" xfId="0" applyFont="1" applyFill="1" applyBorder="1" applyAlignment="1">
      <alignment/>
    </xf>
    <xf numFmtId="0" fontId="14" fillId="34" borderId="10" xfId="0" applyFont="1" applyFill="1" applyBorder="1" applyAlignment="1">
      <alignment/>
    </xf>
    <xf numFmtId="0" fontId="13" fillId="34" borderId="10" xfId="0" applyFont="1" applyFill="1" applyBorder="1" applyAlignment="1">
      <alignment/>
    </xf>
    <xf numFmtId="0" fontId="103" fillId="41" borderId="0" xfId="0" applyFont="1" applyFill="1" applyAlignment="1">
      <alignment horizontal="center"/>
    </xf>
    <xf numFmtId="0" fontId="103" fillId="0" borderId="0" xfId="0" applyFont="1" applyAlignment="1">
      <alignment horizontal="right"/>
    </xf>
    <xf numFmtId="177" fontId="12" fillId="36" borderId="0" xfId="0" applyNumberFormat="1" applyFont="1" applyFill="1" applyAlignment="1">
      <alignment horizontal="center"/>
    </xf>
    <xf numFmtId="178" fontId="12" fillId="36" borderId="0" xfId="0" applyNumberFormat="1" applyFont="1" applyFill="1" applyAlignment="1">
      <alignment horizontal="center"/>
    </xf>
    <xf numFmtId="3" fontId="12" fillId="36" borderId="0" xfId="0" applyNumberFormat="1" applyFont="1" applyFill="1" applyAlignment="1">
      <alignment horizontal="center"/>
    </xf>
    <xf numFmtId="3" fontId="12" fillId="42" borderId="0" xfId="0" applyNumberFormat="1" applyFont="1" applyFill="1" applyAlignment="1">
      <alignment horizontal="center"/>
    </xf>
    <xf numFmtId="0" fontId="14" fillId="34" borderId="0" xfId="0" applyFont="1" applyFill="1" applyAlignment="1">
      <alignment horizontal="right"/>
    </xf>
    <xf numFmtId="177" fontId="14" fillId="34" borderId="0" xfId="15" applyNumberFormat="1" applyFont="1" applyFill="1" applyAlignment="1">
      <alignment horizontal="right"/>
    </xf>
    <xf numFmtId="0" fontId="4" fillId="34" borderId="0" xfId="0" applyFont="1" applyFill="1" applyAlignment="1">
      <alignment/>
    </xf>
    <xf numFmtId="177" fontId="14" fillId="34" borderId="0" xfId="0" applyNumberFormat="1" applyFont="1" applyFill="1" applyBorder="1" applyAlignment="1">
      <alignment horizontal="right"/>
    </xf>
    <xf numFmtId="177" fontId="36" fillId="34" borderId="0" xfId="15" applyNumberFormat="1" applyFont="1" applyFill="1" applyBorder="1" applyAlignment="1">
      <alignment horizontal="right"/>
    </xf>
    <xf numFmtId="0" fontId="14" fillId="34" borderId="0" xfId="0" applyFont="1" applyFill="1" applyAlignment="1">
      <alignment/>
    </xf>
    <xf numFmtId="0" fontId="103" fillId="0" borderId="0" xfId="0" applyFont="1" applyFill="1" applyAlignment="1">
      <alignment horizontal="right"/>
    </xf>
    <xf numFmtId="3" fontId="14" fillId="34" borderId="0" xfId="0" applyNumberFormat="1" applyFont="1" applyFill="1" applyBorder="1" applyAlignment="1">
      <alignment horizontal="right"/>
    </xf>
    <xf numFmtId="0" fontId="105" fillId="34" borderId="0" xfId="0" applyFont="1" applyFill="1" applyAlignment="1">
      <alignment horizontal="center"/>
    </xf>
    <xf numFmtId="0" fontId="114" fillId="0" borderId="0" xfId="0" applyFont="1" applyAlignment="1">
      <alignment horizontal="right"/>
    </xf>
    <xf numFmtId="3" fontId="115" fillId="43" borderId="0" xfId="0" applyNumberFormat="1" applyFont="1" applyFill="1" applyBorder="1" applyAlignment="1">
      <alignment horizontal="center"/>
    </xf>
    <xf numFmtId="177" fontId="115" fillId="43" borderId="0" xfId="0" applyNumberFormat="1" applyFont="1" applyFill="1" applyBorder="1" applyAlignment="1">
      <alignment horizontal="center"/>
    </xf>
    <xf numFmtId="177" fontId="116" fillId="36" borderId="0" xfId="0" applyNumberFormat="1" applyFont="1" applyFill="1" applyAlignment="1">
      <alignment horizontal="center"/>
    </xf>
    <xf numFmtId="178" fontId="116" fillId="36" borderId="0" xfId="0" applyNumberFormat="1" applyFont="1" applyFill="1" applyAlignment="1">
      <alignment horizontal="center"/>
    </xf>
    <xf numFmtId="3" fontId="116" fillId="36" borderId="0" xfId="0" applyNumberFormat="1" applyFont="1" applyFill="1" applyAlignment="1">
      <alignment horizontal="center"/>
    </xf>
    <xf numFmtId="3" fontId="117" fillId="42" borderId="0" xfId="0" applyNumberFormat="1" applyFont="1" applyFill="1" applyAlignment="1">
      <alignment horizontal="center"/>
    </xf>
    <xf numFmtId="10" fontId="116" fillId="36" borderId="0" xfId="0" applyNumberFormat="1" applyFont="1" applyFill="1" applyAlignment="1">
      <alignment horizontal="center"/>
    </xf>
    <xf numFmtId="0" fontId="4" fillId="0" borderId="0" xfId="0" applyFont="1" applyAlignment="1">
      <alignment wrapText="1"/>
    </xf>
    <xf numFmtId="177" fontId="114" fillId="0" borderId="0" xfId="0" applyNumberFormat="1" applyFont="1" applyAlignment="1">
      <alignment horizontal="right"/>
    </xf>
    <xf numFmtId="3" fontId="20" fillId="43" borderId="0" xfId="0" applyNumberFormat="1" applyFont="1" applyFill="1" applyBorder="1" applyAlignment="1">
      <alignment horizontal="center"/>
    </xf>
    <xf numFmtId="177" fontId="20" fillId="43" borderId="0" xfId="0" applyNumberFormat="1" applyFont="1" applyFill="1" applyBorder="1" applyAlignment="1">
      <alignment horizontal="center"/>
    </xf>
    <xf numFmtId="175" fontId="12" fillId="42" borderId="0" xfId="0" applyNumberFormat="1" applyFont="1" applyFill="1" applyAlignment="1">
      <alignment horizontal="center"/>
    </xf>
    <xf numFmtId="178" fontId="20" fillId="36" borderId="0" xfId="0" applyNumberFormat="1" applyFont="1" applyFill="1" applyAlignment="1">
      <alignment horizontal="center"/>
    </xf>
    <xf numFmtId="10" fontId="20" fillId="36" borderId="0" xfId="0" applyNumberFormat="1" applyFont="1" applyFill="1" applyAlignment="1">
      <alignment horizontal="center"/>
    </xf>
    <xf numFmtId="178" fontId="118" fillId="0" borderId="0" xfId="0" applyNumberFormat="1" applyFont="1" applyFill="1" applyAlignment="1">
      <alignment horizontal="center"/>
    </xf>
    <xf numFmtId="177" fontId="4" fillId="0" borderId="0" xfId="0" applyNumberFormat="1" applyFont="1" applyAlignment="1">
      <alignment/>
    </xf>
    <xf numFmtId="3" fontId="20" fillId="0" borderId="0" xfId="0" applyNumberFormat="1" applyFont="1" applyFill="1" applyAlignment="1">
      <alignment horizontal="left"/>
    </xf>
    <xf numFmtId="178" fontId="106" fillId="0" borderId="0" xfId="0" applyNumberFormat="1" applyFont="1" applyFill="1" applyAlignment="1">
      <alignment horizontal="center"/>
    </xf>
    <xf numFmtId="3" fontId="107" fillId="0" borderId="0" xfId="0" applyNumberFormat="1" applyFont="1" applyAlignment="1">
      <alignment/>
    </xf>
    <xf numFmtId="200" fontId="4" fillId="0" borderId="0" xfId="15" applyNumberFormat="1" applyFont="1" applyAlignment="1">
      <alignment/>
    </xf>
    <xf numFmtId="0" fontId="20" fillId="0" borderId="0" xfId="0" applyFont="1" applyAlignment="1">
      <alignment horizontal="left"/>
    </xf>
    <xf numFmtId="200" fontId="4" fillId="0" borderId="0" xfId="0" applyNumberFormat="1" applyFont="1" applyAlignment="1">
      <alignment/>
    </xf>
    <xf numFmtId="175" fontId="4" fillId="0" borderId="0" xfId="0" applyNumberFormat="1" applyFont="1" applyAlignment="1">
      <alignment/>
    </xf>
    <xf numFmtId="0" fontId="119" fillId="0" borderId="0" xfId="0" applyFont="1" applyAlignment="1">
      <alignment wrapText="1"/>
    </xf>
    <xf numFmtId="177" fontId="119" fillId="0" borderId="0" xfId="0" applyNumberFormat="1" applyFont="1" applyAlignment="1">
      <alignment/>
    </xf>
    <xf numFmtId="0" fontId="120" fillId="0" borderId="0" xfId="0" applyFont="1" applyAlignment="1">
      <alignment/>
    </xf>
    <xf numFmtId="0" fontId="121" fillId="0" borderId="0" xfId="0" applyFont="1" applyFill="1" applyAlignment="1">
      <alignment/>
    </xf>
    <xf numFmtId="0" fontId="37" fillId="35" borderId="16" xfId="0" applyFont="1" applyFill="1" applyBorder="1" applyAlignment="1">
      <alignment horizontal="center"/>
    </xf>
    <xf numFmtId="0" fontId="0" fillId="35" borderId="20" xfId="0" applyFill="1" applyBorder="1" applyAlignment="1">
      <alignment/>
    </xf>
    <xf numFmtId="0" fontId="77" fillId="0" borderId="0" xfId="0" applyFont="1" applyFill="1" applyBorder="1" applyAlignment="1">
      <alignment horizontal="center"/>
    </xf>
    <xf numFmtId="0" fontId="108" fillId="34" borderId="0" xfId="0" applyFont="1" applyFill="1" applyAlignment="1">
      <alignment horizontal="center"/>
    </xf>
    <xf numFmtId="0" fontId="17" fillId="34" borderId="0" xfId="0" applyFont="1" applyFill="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174" fontId="9" fillId="34" borderId="24" xfId="0" applyNumberFormat="1" applyFont="1" applyFill="1" applyBorder="1" applyAlignment="1">
      <alignment horizontal="center"/>
    </xf>
    <xf numFmtId="174" fontId="22" fillId="34" borderId="25" xfId="0" applyNumberFormat="1" applyFont="1" applyFill="1" applyBorder="1" applyAlignment="1">
      <alignment horizontal="center"/>
    </xf>
    <xf numFmtId="2" fontId="6" fillId="0" borderId="24" xfId="0" applyNumberFormat="1" applyFont="1" applyFill="1" applyBorder="1" applyAlignment="1">
      <alignment horizontal="center"/>
    </xf>
    <xf numFmtId="0" fontId="4" fillId="0" borderId="25" xfId="0" applyFont="1" applyBorder="1" applyAlignment="1">
      <alignment/>
    </xf>
    <xf numFmtId="0" fontId="4" fillId="0" borderId="25" xfId="0" applyFont="1" applyFill="1" applyBorder="1" applyAlignment="1">
      <alignment/>
    </xf>
    <xf numFmtId="0" fontId="0" fillId="0" borderId="25" xfId="0" applyBorder="1" applyAlignment="1">
      <alignment/>
    </xf>
    <xf numFmtId="0" fontId="6" fillId="0" borderId="25" xfId="0" applyFont="1" applyBorder="1" applyAlignment="1">
      <alignment/>
    </xf>
    <xf numFmtId="2" fontId="4" fillId="0" borderId="24" xfId="0" applyNumberFormat="1" applyFont="1" applyFill="1" applyBorder="1" applyAlignment="1">
      <alignment horizontal="center"/>
    </xf>
    <xf numFmtId="2" fontId="20" fillId="0" borderId="24" xfId="0" applyNumberFormat="1" applyFont="1" applyFill="1" applyBorder="1" applyAlignment="1">
      <alignment horizontal="right"/>
    </xf>
    <xf numFmtId="174" fontId="4" fillId="0" borderId="25" xfId="0" applyNumberFormat="1" applyFont="1" applyBorder="1" applyAlignment="1">
      <alignment/>
    </xf>
    <xf numFmtId="0" fontId="6" fillId="0" borderId="24" xfId="0" applyFont="1" applyFill="1" applyBorder="1" applyAlignment="1">
      <alignment/>
    </xf>
    <xf numFmtId="178" fontId="15" fillId="0" borderId="24" xfId="0" applyNumberFormat="1" applyFont="1" applyFill="1" applyBorder="1" applyAlignment="1">
      <alignment horizontal="center"/>
    </xf>
    <xf numFmtId="178" fontId="16" fillId="0" borderId="26" xfId="0" applyNumberFormat="1" applyFont="1" applyFill="1" applyBorder="1" applyAlignment="1">
      <alignment horizontal="center"/>
    </xf>
    <xf numFmtId="0" fontId="4" fillId="0" borderId="27" xfId="0" applyFont="1" applyBorder="1" applyAlignment="1">
      <alignment/>
    </xf>
    <xf numFmtId="0" fontId="7" fillId="0" borderId="27" xfId="0" applyFont="1" applyFill="1" applyBorder="1" applyAlignment="1">
      <alignment/>
    </xf>
    <xf numFmtId="0" fontId="4" fillId="0" borderId="28" xfId="0" applyFont="1" applyBorder="1" applyAlignment="1">
      <alignment/>
    </xf>
    <xf numFmtId="0" fontId="29" fillId="0" borderId="0" xfId="0" applyFont="1" applyAlignment="1">
      <alignment/>
    </xf>
    <xf numFmtId="0" fontId="37" fillId="35" borderId="0" xfId="0" applyFont="1" applyFill="1" applyBorder="1" applyAlignment="1">
      <alignment horizontal="center"/>
    </xf>
    <xf numFmtId="2" fontId="37" fillId="35" borderId="0" xfId="0" applyNumberFormat="1" applyFont="1" applyFill="1" applyBorder="1" applyAlignment="1">
      <alignment horizontal="left"/>
    </xf>
    <xf numFmtId="1" fontId="37" fillId="35" borderId="0" xfId="0" applyNumberFormat="1" applyFont="1" applyFill="1" applyBorder="1" applyAlignment="1">
      <alignment horizontal="center"/>
    </xf>
    <xf numFmtId="0" fontId="0" fillId="35" borderId="0" xfId="0" applyFill="1" applyBorder="1" applyAlignment="1">
      <alignment/>
    </xf>
    <xf numFmtId="0" fontId="77" fillId="35" borderId="14" xfId="0" applyFont="1" applyFill="1" applyBorder="1" applyAlignment="1">
      <alignment horizontal="left"/>
    </xf>
    <xf numFmtId="0" fontId="98" fillId="35" borderId="14" xfId="0" applyFont="1" applyFill="1" applyBorder="1" applyAlignment="1" quotePrefix="1">
      <alignment horizontal="center"/>
    </xf>
    <xf numFmtId="0" fontId="37" fillId="35" borderId="14" xfId="0" applyFont="1" applyFill="1" applyBorder="1" applyAlignment="1">
      <alignment/>
    </xf>
    <xf numFmtId="0" fontId="77" fillId="35" borderId="14" xfId="0" applyFont="1" applyFill="1" applyBorder="1" applyAlignment="1" quotePrefix="1">
      <alignment horizontal="left"/>
    </xf>
    <xf numFmtId="0" fontId="98" fillId="35" borderId="17" xfId="0" applyFont="1" applyFill="1" applyBorder="1" applyAlignment="1">
      <alignment horizontal="left"/>
    </xf>
    <xf numFmtId="0" fontId="37" fillId="35" borderId="20" xfId="0" applyFont="1" applyFill="1" applyBorder="1" applyAlignment="1">
      <alignment/>
    </xf>
    <xf numFmtId="0" fontId="37" fillId="35" borderId="29" xfId="0" applyFont="1" applyFill="1" applyBorder="1" applyAlignment="1" quotePrefix="1">
      <alignment horizontal="left"/>
    </xf>
    <xf numFmtId="0" fontId="37" fillId="35" borderId="30" xfId="0" applyFont="1" applyFill="1" applyBorder="1" applyAlignment="1">
      <alignment/>
    </xf>
    <xf numFmtId="2" fontId="37" fillId="35" borderId="14" xfId="0" applyNumberFormat="1" applyFont="1" applyFill="1" applyBorder="1" applyAlignment="1">
      <alignment horizontal="center"/>
    </xf>
    <xf numFmtId="0" fontId="37" fillId="35" borderId="29" xfId="0" applyFont="1" applyFill="1" applyBorder="1" applyAlignment="1">
      <alignment horizontal="left"/>
    </xf>
    <xf numFmtId="0" fontId="37" fillId="35" borderId="30" xfId="0" applyFont="1" applyFill="1" applyBorder="1" applyAlignment="1">
      <alignment horizontal="left"/>
    </xf>
    <xf numFmtId="2" fontId="37" fillId="35" borderId="17" xfId="0" applyNumberFormat="1" applyFont="1" applyFill="1" applyBorder="1" applyAlignment="1">
      <alignment horizontal="left"/>
    </xf>
    <xf numFmtId="176" fontId="37" fillId="35" borderId="29" xfId="0" applyNumberFormat="1" applyFont="1" applyFill="1" applyBorder="1" applyAlignment="1" quotePrefix="1">
      <alignment horizontal="left"/>
    </xf>
    <xf numFmtId="1" fontId="61" fillId="0" borderId="0" xfId="0" applyNumberFormat="1" applyFont="1" applyAlignment="1">
      <alignment horizontal="center"/>
    </xf>
    <xf numFmtId="1" fontId="61" fillId="0" borderId="0" xfId="0" applyNumberFormat="1" applyFont="1" applyFill="1" applyAlignment="1">
      <alignment horizontal="center"/>
    </xf>
    <xf numFmtId="3" fontId="122" fillId="39" borderId="0" xfId="0" applyNumberFormat="1" applyFont="1" applyFill="1" applyAlignment="1">
      <alignment horizontal="center"/>
    </xf>
    <xf numFmtId="0" fontId="29" fillId="0" borderId="0" xfId="0" applyFont="1" applyFill="1" applyAlignment="1">
      <alignment/>
    </xf>
    <xf numFmtId="0" fontId="123" fillId="0" borderId="0" xfId="0" applyFont="1" applyFill="1" applyAlignment="1">
      <alignment horizontal="center"/>
    </xf>
    <xf numFmtId="0" fontId="124" fillId="0" borderId="0" xfId="0" applyFont="1" applyFill="1" applyAlignment="1">
      <alignment/>
    </xf>
    <xf numFmtId="3" fontId="123" fillId="0" borderId="0" xfId="0" applyNumberFormat="1" applyFont="1" applyFill="1" applyAlignment="1">
      <alignment horizontal="center"/>
    </xf>
    <xf numFmtId="178" fontId="125" fillId="0" borderId="0" xfId="0" applyNumberFormat="1" applyFont="1" applyFill="1" applyAlignment="1">
      <alignment horizontal="center"/>
    </xf>
    <xf numFmtId="0" fontId="6" fillId="0" borderId="0" xfId="0" applyFont="1" applyAlignment="1">
      <alignment/>
    </xf>
    <xf numFmtId="0" fontId="6" fillId="0" borderId="0" xfId="0" applyFont="1" applyAlignment="1">
      <alignment wrapText="1"/>
    </xf>
    <xf numFmtId="0" fontId="17" fillId="34" borderId="0" xfId="0" applyFont="1" applyFill="1" applyAlignment="1">
      <alignment horizontal="left"/>
    </xf>
    <xf numFmtId="174" fontId="47" fillId="0" borderId="0" xfId="0" applyNumberFormat="1" applyFont="1" applyFill="1" applyBorder="1" applyAlignment="1">
      <alignment horizontal="center"/>
    </xf>
    <xf numFmtId="0" fontId="4" fillId="0" borderId="24" xfId="0" applyFont="1" applyBorder="1" applyAlignment="1">
      <alignment/>
    </xf>
    <xf numFmtId="174" fontId="13" fillId="34" borderId="24" xfId="0" applyNumberFormat="1" applyFont="1" applyFill="1" applyBorder="1" applyAlignment="1">
      <alignment horizontal="center"/>
    </xf>
    <xf numFmtId="174" fontId="54" fillId="34" borderId="25" xfId="0" applyNumberFormat="1" applyFont="1" applyFill="1" applyBorder="1" applyAlignment="1">
      <alignment horizontal="center"/>
    </xf>
    <xf numFmtId="0" fontId="4" fillId="0" borderId="24" xfId="0" applyFont="1" applyFill="1" applyBorder="1" applyAlignment="1">
      <alignment/>
    </xf>
    <xf numFmtId="0" fontId="0" fillId="0" borderId="24" xfId="0" applyBorder="1" applyAlignment="1">
      <alignment/>
    </xf>
    <xf numFmtId="0" fontId="6" fillId="0" borderId="24" xfId="0" applyFont="1" applyBorder="1" applyAlignment="1">
      <alignment/>
    </xf>
    <xf numFmtId="178" fontId="13" fillId="0" borderId="24" xfId="0" applyNumberFormat="1" applyFont="1" applyBorder="1" applyAlignment="1">
      <alignment horizontal="center"/>
    </xf>
    <xf numFmtId="176" fontId="13" fillId="0" borderId="24" xfId="0" applyNumberFormat="1" applyFont="1" applyBorder="1" applyAlignment="1">
      <alignment horizontal="center"/>
    </xf>
    <xf numFmtId="0" fontId="4" fillId="0" borderId="26" xfId="0" applyFont="1" applyBorder="1" applyAlignment="1">
      <alignment/>
    </xf>
    <xf numFmtId="3" fontId="4" fillId="33" borderId="0" xfId="0" applyNumberFormat="1" applyFont="1" applyFill="1" applyAlignment="1">
      <alignment horizontal="center"/>
    </xf>
    <xf numFmtId="3" fontId="7" fillId="33" borderId="0" xfId="0" applyNumberFormat="1" applyFont="1" applyFill="1" applyAlignment="1">
      <alignment horizontal="center"/>
    </xf>
    <xf numFmtId="0" fontId="29" fillId="0" borderId="0" xfId="0" applyFont="1" applyAlignment="1">
      <alignment horizontal="center"/>
    </xf>
    <xf numFmtId="0" fontId="52" fillId="0" borderId="0" xfId="0" applyFont="1" applyAlignment="1">
      <alignment/>
    </xf>
    <xf numFmtId="0" fontId="127" fillId="0" borderId="0" xfId="0" applyFont="1" applyAlignment="1">
      <alignment horizontal="center"/>
    </xf>
    <xf numFmtId="0" fontId="61" fillId="0" borderId="0" xfId="0" applyFont="1" applyAlignment="1">
      <alignment horizontal="left"/>
    </xf>
    <xf numFmtId="2" fontId="60" fillId="0" borderId="0" xfId="0" applyNumberFormat="1" applyFont="1" applyAlignment="1">
      <alignment/>
    </xf>
    <xf numFmtId="0" fontId="56" fillId="0" borderId="0" xfId="0" applyFont="1" applyAlignment="1">
      <alignment horizontal="left"/>
    </xf>
    <xf numFmtId="0" fontId="81" fillId="0" borderId="0" xfId="0" applyFont="1" applyAlignment="1">
      <alignment/>
    </xf>
    <xf numFmtId="177" fontId="56" fillId="0" borderId="0" xfId="0" applyNumberFormat="1" applyFont="1" applyAlignment="1">
      <alignment horizontal="center"/>
    </xf>
    <xf numFmtId="3" fontId="56" fillId="0" borderId="0" xfId="0" applyNumberFormat="1" applyFont="1" applyAlignment="1">
      <alignment horizontal="center"/>
    </xf>
    <xf numFmtId="2" fontId="23" fillId="33" borderId="0" xfId="0" applyNumberFormat="1" applyFont="1" applyFill="1" applyAlignment="1">
      <alignment horizontal="center"/>
    </xf>
    <xf numFmtId="2" fontId="23" fillId="33" borderId="0" xfId="0" applyNumberFormat="1" applyFont="1" applyFill="1" applyBorder="1" applyAlignment="1">
      <alignment horizontal="center"/>
    </xf>
    <xf numFmtId="2" fontId="23" fillId="39" borderId="0" xfId="0" applyNumberFormat="1" applyFont="1" applyFill="1" applyAlignment="1">
      <alignment horizontal="center"/>
    </xf>
    <xf numFmtId="174" fontId="4" fillId="0" borderId="0" xfId="0" applyNumberFormat="1" applyFont="1" applyFill="1" applyAlignment="1">
      <alignment horizontal="center"/>
    </xf>
    <xf numFmtId="2" fontId="0" fillId="0" borderId="0" xfId="0" applyNumberFormat="1" applyFont="1" applyAlignment="1">
      <alignment horizontal="center"/>
    </xf>
    <xf numFmtId="177" fontId="0" fillId="0" borderId="0" xfId="0" applyNumberFormat="1" applyAlignment="1">
      <alignment/>
    </xf>
    <xf numFmtId="0" fontId="124" fillId="0" borderId="0" xfId="0" applyFont="1" applyFill="1" applyBorder="1" applyAlignment="1">
      <alignment/>
    </xf>
    <xf numFmtId="0" fontId="4" fillId="44" borderId="31" xfId="0" applyFont="1" applyFill="1" applyBorder="1" applyAlignment="1">
      <alignment horizontal="center"/>
    </xf>
    <xf numFmtId="0" fontId="4" fillId="44" borderId="32" xfId="0" applyFont="1" applyFill="1" applyBorder="1" applyAlignment="1">
      <alignment horizontal="center"/>
    </xf>
    <xf numFmtId="0" fontId="4" fillId="44" borderId="33" xfId="0" applyFont="1" applyFill="1" applyBorder="1" applyAlignment="1">
      <alignment horizontal="center"/>
    </xf>
    <xf numFmtId="0" fontId="0" fillId="44" borderId="31" xfId="0" applyFont="1" applyFill="1" applyBorder="1" applyAlignment="1">
      <alignment/>
    </xf>
    <xf numFmtId="3" fontId="23" fillId="44" borderId="0" xfId="0" applyNumberFormat="1" applyFont="1" applyFill="1" applyAlignment="1">
      <alignment horizontal="center"/>
    </xf>
    <xf numFmtId="174" fontId="23" fillId="44" borderId="0" xfId="0" applyNumberFormat="1" applyFont="1" applyFill="1" applyAlignment="1">
      <alignment horizontal="center"/>
    </xf>
    <xf numFmtId="175" fontId="23" fillId="44" borderId="0" xfId="0" applyNumberFormat="1" applyFont="1" applyFill="1" applyAlignment="1">
      <alignment horizontal="center"/>
    </xf>
    <xf numFmtId="174" fontId="87" fillId="44" borderId="0" xfId="0" applyNumberFormat="1" applyFont="1" applyFill="1" applyAlignment="1">
      <alignment horizontal="center"/>
    </xf>
    <xf numFmtId="177" fontId="23" fillId="44" borderId="0" xfId="0" applyNumberFormat="1" applyFont="1" applyFill="1" applyAlignment="1">
      <alignment horizontal="left"/>
    </xf>
    <xf numFmtId="178" fontId="23" fillId="44" borderId="0" xfId="0" applyNumberFormat="1" applyFont="1" applyFill="1" applyAlignment="1">
      <alignment horizontal="center"/>
    </xf>
    <xf numFmtId="10" fontId="23" fillId="44" borderId="0" xfId="58" applyNumberFormat="1" applyFont="1" applyFill="1" applyAlignment="1">
      <alignment horizontal="center"/>
    </xf>
    <xf numFmtId="10" fontId="23" fillId="44" borderId="0" xfId="0" applyNumberFormat="1" applyFont="1" applyFill="1" applyAlignment="1">
      <alignment horizontal="center"/>
    </xf>
    <xf numFmtId="2" fontId="23" fillId="44" borderId="0" xfId="0" applyNumberFormat="1" applyFont="1" applyFill="1" applyAlignment="1">
      <alignment horizontal="center"/>
    </xf>
    <xf numFmtId="177" fontId="42" fillId="44" borderId="0" xfId="0" applyNumberFormat="1" applyFont="1" applyFill="1" applyAlignment="1">
      <alignment horizontal="left"/>
    </xf>
    <xf numFmtId="178" fontId="126" fillId="44" borderId="0" xfId="0" applyNumberFormat="1" applyFont="1" applyFill="1" applyAlignment="1">
      <alignment horizontal="center"/>
    </xf>
    <xf numFmtId="10" fontId="126" fillId="44" borderId="0" xfId="58" applyNumberFormat="1" applyFont="1" applyFill="1" applyAlignment="1">
      <alignment horizontal="center"/>
    </xf>
    <xf numFmtId="10" fontId="126" fillId="44" borderId="0" xfId="0" applyNumberFormat="1" applyFont="1" applyFill="1" applyAlignment="1">
      <alignment horizontal="center"/>
    </xf>
    <xf numFmtId="2" fontId="126" fillId="44" borderId="0" xfId="0" applyNumberFormat="1" applyFont="1" applyFill="1" applyAlignment="1">
      <alignment horizontal="center"/>
    </xf>
    <xf numFmtId="178" fontId="42" fillId="44" borderId="0" xfId="0" applyNumberFormat="1" applyFont="1" applyFill="1" applyAlignment="1">
      <alignment horizontal="center"/>
    </xf>
    <xf numFmtId="10" fontId="42" fillId="44" borderId="0" xfId="58" applyNumberFormat="1" applyFont="1" applyFill="1" applyAlignment="1">
      <alignment horizontal="center"/>
    </xf>
    <xf numFmtId="10" fontId="42" fillId="44" borderId="0" xfId="0" applyNumberFormat="1" applyFont="1" applyFill="1" applyAlignment="1">
      <alignment horizontal="center"/>
    </xf>
    <xf numFmtId="2" fontId="42" fillId="44" borderId="0" xfId="0" applyNumberFormat="1" applyFont="1" applyFill="1" applyAlignment="1">
      <alignment horizontal="center"/>
    </xf>
    <xf numFmtId="177" fontId="36" fillId="44" borderId="0" xfId="0" applyNumberFormat="1" applyFont="1" applyFill="1" applyAlignment="1">
      <alignment horizontal="left"/>
    </xf>
    <xf numFmtId="178" fontId="36" fillId="44" borderId="0" xfId="0" applyNumberFormat="1" applyFont="1" applyFill="1" applyAlignment="1">
      <alignment horizontal="center"/>
    </xf>
    <xf numFmtId="10" fontId="36" fillId="44" borderId="0" xfId="58" applyNumberFormat="1" applyFont="1" applyFill="1" applyAlignment="1">
      <alignment horizontal="center"/>
    </xf>
    <xf numFmtId="10" fontId="36" fillId="44" borderId="0" xfId="0" applyNumberFormat="1" applyFont="1" applyFill="1" applyAlignment="1">
      <alignment horizontal="center"/>
    </xf>
    <xf numFmtId="2" fontId="36" fillId="44" borderId="0" xfId="0" applyNumberFormat="1" applyFont="1" applyFill="1" applyAlignment="1">
      <alignment horizontal="center"/>
    </xf>
    <xf numFmtId="177" fontId="105" fillId="44" borderId="0" xfId="0" applyNumberFormat="1" applyFont="1" applyFill="1" applyAlignment="1">
      <alignment horizontal="left"/>
    </xf>
    <xf numFmtId="177" fontId="23" fillId="44" borderId="0" xfId="0" applyNumberFormat="1" applyFont="1" applyFill="1" applyAlignment="1">
      <alignment horizontal="center"/>
    </xf>
    <xf numFmtId="9" fontId="23" fillId="44" borderId="0" xfId="58" applyFont="1" applyFill="1" applyAlignment="1">
      <alignment horizontal="center"/>
    </xf>
    <xf numFmtId="2" fontId="23" fillId="44" borderId="34" xfId="0" applyNumberFormat="1" applyFont="1" applyFill="1" applyBorder="1" applyAlignment="1">
      <alignment horizontal="center"/>
    </xf>
    <xf numFmtId="3" fontId="12" fillId="36" borderId="0" xfId="0" applyNumberFormat="1" applyFont="1" applyFill="1" applyBorder="1" applyAlignment="1">
      <alignment horizontal="center"/>
    </xf>
    <xf numFmtId="178" fontId="12" fillId="36" borderId="0" xfId="0" applyNumberFormat="1" applyFont="1" applyFill="1" applyBorder="1" applyAlignment="1">
      <alignment horizontal="center"/>
    </xf>
    <xf numFmtId="177" fontId="12" fillId="36" borderId="0" xfId="0" applyNumberFormat="1" applyFont="1" applyFill="1" applyBorder="1" applyAlignment="1">
      <alignment horizontal="center"/>
    </xf>
    <xf numFmtId="3" fontId="116" fillId="36" borderId="0" xfId="0" applyNumberFormat="1" applyFont="1" applyFill="1" applyBorder="1" applyAlignment="1">
      <alignment horizontal="center"/>
    </xf>
    <xf numFmtId="177" fontId="116" fillId="36" borderId="0" xfId="0" applyNumberFormat="1" applyFont="1" applyFill="1" applyAlignment="1">
      <alignment horizontal="center"/>
    </xf>
    <xf numFmtId="178" fontId="116" fillId="36" borderId="0" xfId="0" applyNumberFormat="1" applyFont="1" applyFill="1" applyAlignment="1">
      <alignment horizontal="center"/>
    </xf>
    <xf numFmtId="3" fontId="116" fillId="36" borderId="0" xfId="0" applyNumberFormat="1" applyFont="1" applyFill="1" applyAlignment="1">
      <alignment horizontal="center"/>
    </xf>
    <xf numFmtId="177" fontId="116" fillId="36" borderId="0" xfId="0" applyNumberFormat="1" applyFont="1" applyFill="1" applyBorder="1" applyAlignment="1">
      <alignment horizontal="center"/>
    </xf>
    <xf numFmtId="10" fontId="12" fillId="36" borderId="0" xfId="0" applyNumberFormat="1" applyFont="1" applyFill="1" applyAlignment="1">
      <alignment horizontal="center"/>
    </xf>
    <xf numFmtId="10" fontId="116" fillId="36" borderId="0" xfId="0" applyNumberFormat="1" applyFont="1" applyFill="1" applyAlignment="1">
      <alignment horizontal="center"/>
    </xf>
    <xf numFmtId="0" fontId="29" fillId="0" borderId="0" xfId="0" applyFont="1" applyAlignment="1">
      <alignment/>
    </xf>
    <xf numFmtId="0" fontId="29" fillId="0" borderId="0" xfId="0" applyFont="1" applyFill="1" applyAlignment="1">
      <alignment/>
    </xf>
    <xf numFmtId="0" fontId="17" fillId="0" borderId="0" xfId="0" applyFont="1" applyFill="1" applyBorder="1" applyAlignment="1">
      <alignment/>
    </xf>
    <xf numFmtId="0" fontId="17" fillId="0" borderId="0" xfId="0" applyFont="1" applyFill="1" applyAlignment="1">
      <alignment horizontal="center"/>
    </xf>
    <xf numFmtId="177" fontId="17" fillId="0" borderId="0" xfId="0" applyNumberFormat="1" applyFont="1" applyFill="1" applyAlignment="1">
      <alignment horizontal="center"/>
    </xf>
    <xf numFmtId="3" fontId="17" fillId="0" borderId="0" xfId="0" applyNumberFormat="1" applyFont="1" applyFill="1" applyAlignment="1">
      <alignment horizontal="center"/>
    </xf>
    <xf numFmtId="0" fontId="24" fillId="0" borderId="0" xfId="0" applyFont="1" applyAlignment="1">
      <alignment horizontal="center"/>
    </xf>
    <xf numFmtId="3" fontId="24" fillId="0" borderId="0" xfId="0" applyNumberFormat="1" applyFont="1" applyAlignment="1">
      <alignment horizontal="center"/>
    </xf>
    <xf numFmtId="0" fontId="14" fillId="0" borderId="0" xfId="0" applyFont="1" applyFill="1" applyAlignment="1">
      <alignment horizontal="center"/>
    </xf>
    <xf numFmtId="1" fontId="14" fillId="0" borderId="0" xfId="0" applyNumberFormat="1" applyFont="1" applyAlignment="1">
      <alignment horizontal="center"/>
    </xf>
    <xf numFmtId="173" fontId="14" fillId="0" borderId="0" xfId="0" applyNumberFormat="1" applyFont="1" applyAlignment="1">
      <alignment horizontal="center"/>
    </xf>
    <xf numFmtId="0" fontId="14" fillId="0" borderId="0" xfId="0" applyFont="1" applyAlignment="1">
      <alignment horizontal="center"/>
    </xf>
    <xf numFmtId="0" fontId="20" fillId="34" borderId="0" xfId="0" applyFont="1" applyFill="1" applyBorder="1" applyAlignment="1" quotePrefix="1">
      <alignment horizontal="left"/>
    </xf>
    <xf numFmtId="0" fontId="37" fillId="34" borderId="32" xfId="0" applyFont="1" applyFill="1" applyBorder="1" applyAlignment="1">
      <alignment horizontal="center"/>
    </xf>
    <xf numFmtId="0" fontId="37" fillId="34" borderId="32" xfId="0" applyFont="1" applyFill="1" applyBorder="1" applyAlignment="1" quotePrefix="1">
      <alignment horizontal="left"/>
    </xf>
    <xf numFmtId="0" fontId="37" fillId="34" borderId="10" xfId="0" applyFont="1" applyFill="1" applyBorder="1" applyAlignment="1">
      <alignment horizontal="center"/>
    </xf>
    <xf numFmtId="4" fontId="23" fillId="33" borderId="0" xfId="0" applyNumberFormat="1" applyFont="1" applyFill="1" applyAlignment="1">
      <alignment horizontal="center"/>
    </xf>
    <xf numFmtId="2" fontId="23" fillId="34" borderId="0" xfId="0" applyNumberFormat="1" applyFont="1" applyFill="1" applyAlignment="1">
      <alignment horizontal="center"/>
    </xf>
    <xf numFmtId="174" fontId="123" fillId="33" borderId="0" xfId="0" applyNumberFormat="1" applyFont="1" applyFill="1" applyAlignment="1">
      <alignment horizontal="center"/>
    </xf>
    <xf numFmtId="174" fontId="129" fillId="33" borderId="0" xfId="0" applyNumberFormat="1" applyFont="1" applyFill="1" applyAlignment="1">
      <alignment horizontal="center"/>
    </xf>
    <xf numFmtId="0" fontId="0" fillId="0" borderId="0" xfId="0" applyAlignment="1">
      <alignment horizontal="right"/>
    </xf>
    <xf numFmtId="49" fontId="4" fillId="44" borderId="31" xfId="0" applyNumberFormat="1" applyFont="1" applyFill="1" applyBorder="1" applyAlignment="1" quotePrefix="1">
      <alignment horizontal="center"/>
    </xf>
    <xf numFmtId="177" fontId="25" fillId="0" borderId="0" xfId="0" applyNumberFormat="1" applyFont="1" applyAlignment="1">
      <alignment horizontal="center"/>
    </xf>
    <xf numFmtId="3" fontId="25" fillId="0" borderId="0" xfId="0" applyNumberFormat="1" applyFont="1" applyAlignment="1">
      <alignment horizontal="center"/>
    </xf>
    <xf numFmtId="0" fontId="77" fillId="45" borderId="0" xfId="0" applyFont="1" applyFill="1" applyAlignment="1">
      <alignment/>
    </xf>
    <xf numFmtId="0" fontId="7" fillId="46" borderId="32" xfId="0" applyFont="1" applyFill="1" applyBorder="1" applyAlignment="1">
      <alignment/>
    </xf>
    <xf numFmtId="0" fontId="34" fillId="46" borderId="31" xfId="0" applyFont="1" applyFill="1" applyBorder="1" applyAlignment="1">
      <alignment horizontal="center"/>
    </xf>
    <xf numFmtId="177" fontId="4" fillId="46" borderId="32" xfId="0" applyNumberFormat="1" applyFont="1" applyFill="1" applyBorder="1" applyAlignment="1">
      <alignment horizontal="center"/>
    </xf>
    <xf numFmtId="3" fontId="4" fillId="46" borderId="32" xfId="0" applyNumberFormat="1" applyFont="1" applyFill="1" applyBorder="1" applyAlignment="1">
      <alignment horizontal="center"/>
    </xf>
    <xf numFmtId="10" fontId="4" fillId="46" borderId="31" xfId="0" applyNumberFormat="1" applyFont="1" applyFill="1" applyBorder="1" applyAlignment="1">
      <alignment horizontal="center"/>
    </xf>
    <xf numFmtId="0" fontId="7" fillId="46" borderId="31" xfId="0" applyFont="1" applyFill="1" applyBorder="1" applyAlignment="1">
      <alignment/>
    </xf>
    <xf numFmtId="0" fontId="28" fillId="46" borderId="31" xfId="0" applyFont="1" applyFill="1" applyBorder="1" applyAlignment="1">
      <alignment horizontal="center"/>
    </xf>
    <xf numFmtId="177" fontId="4" fillId="46" borderId="31" xfId="0" applyNumberFormat="1" applyFont="1" applyFill="1" applyBorder="1" applyAlignment="1">
      <alignment horizontal="center"/>
    </xf>
    <xf numFmtId="3" fontId="4" fillId="46" borderId="31" xfId="0" applyNumberFormat="1" applyFont="1" applyFill="1" applyBorder="1" applyAlignment="1">
      <alignment horizontal="center"/>
    </xf>
    <xf numFmtId="0" fontId="128" fillId="46" borderId="31" xfId="0" applyFont="1" applyFill="1" applyBorder="1" applyAlignment="1">
      <alignment horizontal="center"/>
    </xf>
    <xf numFmtId="0" fontId="41" fillId="46" borderId="31" xfId="0" applyFont="1" applyFill="1" applyBorder="1" applyAlignment="1">
      <alignment horizontal="center"/>
    </xf>
    <xf numFmtId="177" fontId="12" fillId="46" borderId="31" xfId="0" applyNumberFormat="1" applyFont="1" applyFill="1" applyBorder="1" applyAlignment="1">
      <alignment horizontal="center"/>
    </xf>
    <xf numFmtId="3" fontId="12" fillId="46" borderId="31" xfId="0" applyNumberFormat="1" applyFont="1" applyFill="1" applyBorder="1" applyAlignment="1">
      <alignment horizontal="center"/>
    </xf>
    <xf numFmtId="0" fontId="4" fillId="46" borderId="32" xfId="0" applyFont="1" applyFill="1" applyBorder="1" applyAlignment="1">
      <alignment/>
    </xf>
    <xf numFmtId="0" fontId="4" fillId="46" borderId="31" xfId="0" applyFont="1" applyFill="1" applyBorder="1" applyAlignment="1">
      <alignment/>
    </xf>
    <xf numFmtId="0" fontId="0" fillId="46" borderId="31" xfId="0" applyFill="1" applyBorder="1" applyAlignment="1">
      <alignment/>
    </xf>
    <xf numFmtId="174" fontId="23" fillId="47" borderId="0" xfId="0" applyNumberFormat="1" applyFont="1" applyFill="1" applyAlignment="1">
      <alignment horizontal="center"/>
    </xf>
  </cellXfs>
  <cellStyles count="50">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Ton CO</a:t>
            </a:r>
            <a:r>
              <a:rPr lang="en-US" cap="none" sz="1000" b="0" i="0" u="none" baseline="-25000">
                <a:solidFill>
                  <a:srgbClr val="000000"/>
                </a:solidFill>
              </a:rPr>
              <a:t>2</a:t>
            </a:r>
            <a:r>
              <a:rPr lang="en-US" cap="none" sz="1000" b="0" i="0" u="none" baseline="0">
                <a:solidFill>
                  <a:srgbClr val="000000"/>
                </a:solidFill>
              </a:rPr>
              <a:t>-udledning pr. menneske pr. år</a:t>
            </a:r>
          </a:p>
        </c:rich>
      </c:tx>
      <c:layout>
        <c:manualLayout>
          <c:xMode val="factor"/>
          <c:yMode val="factor"/>
          <c:x val="-0.0215"/>
          <c:y val="-0.00575"/>
        </c:manualLayout>
      </c:layout>
      <c:spPr>
        <a:noFill/>
        <a:ln>
          <a:noFill/>
        </a:ln>
      </c:spPr>
    </c:title>
    <c:plotArea>
      <c:layout>
        <c:manualLayout>
          <c:xMode val="edge"/>
          <c:yMode val="edge"/>
          <c:x val="0.0225"/>
          <c:y val="0.245"/>
          <c:w val="0.955"/>
          <c:h val="0.6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25400">
                <a:solidFill>
                  <a:srgbClr val="000000"/>
                </a:solidFill>
              </a:ln>
            </c:spPr>
          </c:dPt>
          <c:dPt>
            <c:idx val="1"/>
            <c:invertIfNegative val="0"/>
            <c:spPr>
              <a:solidFill>
                <a:srgbClr val="000000"/>
              </a:solidFill>
              <a:ln w="25400">
                <a:solidFill>
                  <a:srgbClr val="000000"/>
                </a:solidFill>
              </a:ln>
            </c:spPr>
          </c:dPt>
          <c:dPt>
            <c:idx val="2"/>
            <c:invertIfNegative val="0"/>
            <c:spPr>
              <a:solidFill>
                <a:srgbClr val="000000"/>
              </a:solidFill>
              <a:ln w="25400">
                <a:solidFill>
                  <a:srgbClr val="000000"/>
                </a:solidFill>
              </a:ln>
            </c:spPr>
          </c:dPt>
          <c:dPt>
            <c:idx val="3"/>
            <c:invertIfNegative val="0"/>
            <c:spPr>
              <a:solidFill>
                <a:srgbClr val="969696"/>
              </a:solidFill>
              <a:ln w="25400">
                <a:solidFill>
                  <a:srgbClr val="000000"/>
                </a:solidFill>
              </a:ln>
            </c:spPr>
          </c:dPt>
          <c:dPt>
            <c:idx val="4"/>
            <c:invertIfNegative val="0"/>
            <c:spPr>
              <a:solidFill>
                <a:srgbClr val="969696"/>
              </a:solidFill>
              <a:ln w="25400">
                <a:solidFill>
                  <a:srgbClr val="000000"/>
                </a:solidFill>
              </a:ln>
            </c:spPr>
          </c:dPt>
          <c:dPt>
            <c:idx val="5"/>
            <c:invertIfNegative val="0"/>
            <c:spPr>
              <a:solidFill>
                <a:srgbClr val="969696"/>
              </a:solidFill>
              <a:ln w="25400">
                <a:solidFill>
                  <a:srgbClr val="000000"/>
                </a:solidFill>
              </a:ln>
            </c:spPr>
          </c:dPt>
          <c:cat>
            <c:strRef>
              <c:f>beregningsark!$F$19:$F$24</c:f>
              <c:strCache/>
            </c:strRef>
          </c:cat>
          <c:val>
            <c:numRef>
              <c:f>beregningsark!$G$19:$G$24</c:f>
              <c:numCache/>
            </c:numRef>
          </c:val>
        </c:ser>
        <c:axId val="63008933"/>
        <c:axId val="30209486"/>
      </c:barChart>
      <c:catAx>
        <c:axId val="63008933"/>
        <c:scaling>
          <c:orientation val="minMax"/>
        </c:scaling>
        <c:axPos val="b"/>
        <c:delete val="0"/>
        <c:numFmt formatCode="General" sourceLinked="1"/>
        <c:majorTickMark val="out"/>
        <c:minorTickMark val="none"/>
        <c:tickLblPos val="nextTo"/>
        <c:spPr>
          <a:ln w="3175">
            <a:solidFill>
              <a:srgbClr val="000000"/>
            </a:solidFill>
          </a:ln>
        </c:spPr>
        <c:crossAx val="30209486"/>
        <c:crossesAt val="0"/>
        <c:auto val="1"/>
        <c:lblOffset val="100"/>
        <c:tickLblSkip val="1"/>
        <c:noMultiLvlLbl val="0"/>
      </c:catAx>
      <c:valAx>
        <c:axId val="30209486"/>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3008933"/>
        <c:crossesAt val="1"/>
        <c:crossBetween val="between"/>
        <c:dispUnits/>
      </c:valAx>
      <c:spPr>
        <a:solidFill>
          <a:srgbClr val="969696"/>
        </a:solidFill>
        <a:ln w="12700">
          <a:solidFill>
            <a:srgbClr val="969696"/>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Indberettet CO</a:t>
            </a:r>
            <a:r>
              <a:rPr lang="en-US" cap="none" sz="1000" b="0" i="0" u="none" baseline="-25000">
                <a:solidFill>
                  <a:srgbClr val="000000"/>
                </a:solidFill>
              </a:rPr>
              <a:t>2</a:t>
            </a:r>
            <a:r>
              <a:rPr lang="en-US" cap="none" sz="1000" b="0" i="0" u="none" baseline="0">
                <a:solidFill>
                  <a:srgbClr val="000000"/>
                </a:solidFill>
              </a:rPr>
              <a:t>-udledning i ton pr. menneske (sort) og max tilladte udledning (grøn)</a:t>
            </a:r>
          </a:p>
        </c:rich>
      </c:tx>
      <c:layout>
        <c:manualLayout>
          <c:xMode val="factor"/>
          <c:yMode val="factor"/>
          <c:x val="0.02725"/>
          <c:y val="-0.00575"/>
        </c:manualLayout>
      </c:layout>
      <c:spPr>
        <a:noFill/>
        <a:ln>
          <a:noFill/>
        </a:ln>
      </c:spPr>
    </c:title>
    <c:plotArea>
      <c:layout>
        <c:manualLayout>
          <c:xMode val="edge"/>
          <c:yMode val="edge"/>
          <c:x val="0.01275"/>
          <c:y val="0.24725"/>
          <c:w val="0.9745"/>
          <c:h val="0.694"/>
        </c:manualLayout>
      </c:layout>
      <c:barChart>
        <c:barDir val="col"/>
        <c:grouping val="clustered"/>
        <c:varyColors val="0"/>
        <c:ser>
          <c:idx val="0"/>
          <c:order val="0"/>
          <c:tx>
            <c:strRef>
              <c:f>beregningsark!$K$21</c:f>
              <c:strCache>
                <c:ptCount val="1"/>
                <c:pt idx="0">
                  <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beregningsark!$L$20:$AE$20</c:f>
              <c:numCache/>
            </c:numRef>
          </c:cat>
          <c:val>
            <c:numRef>
              <c:f>beregningsark!$L$21:$AD$21</c:f>
              <c:numCache/>
            </c:numRef>
          </c:val>
        </c:ser>
        <c:ser>
          <c:idx val="1"/>
          <c:order val="1"/>
          <c:tx>
            <c:strRef>
              <c:f>beregningsark!$K$22</c:f>
              <c:strCache>
                <c:ptCount val="1"/>
                <c:pt idx="0">
                  <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beregningsark!$L$20:$AE$20</c:f>
              <c:numCache/>
            </c:numRef>
          </c:cat>
          <c:val>
            <c:numRef>
              <c:f>beregningsark!$L$22:$AE$22</c:f>
              <c:numCache/>
            </c:numRef>
          </c:val>
        </c:ser>
        <c:overlap val="-10"/>
        <c:axId val="3449919"/>
        <c:axId val="31049272"/>
      </c:barChart>
      <c:catAx>
        <c:axId val="3449919"/>
        <c:scaling>
          <c:orientation val="minMax"/>
        </c:scaling>
        <c:axPos val="b"/>
        <c:delete val="0"/>
        <c:numFmt formatCode="General" sourceLinked="1"/>
        <c:majorTickMark val="out"/>
        <c:minorTickMark val="none"/>
        <c:tickLblPos val="nextTo"/>
        <c:spPr>
          <a:ln w="3175">
            <a:solidFill>
              <a:srgbClr val="000000"/>
            </a:solidFill>
          </a:ln>
        </c:spPr>
        <c:crossAx val="31049272"/>
        <c:crosses val="autoZero"/>
        <c:auto val="1"/>
        <c:lblOffset val="100"/>
        <c:tickLblSkip val="1"/>
        <c:noMultiLvlLbl val="0"/>
      </c:catAx>
      <c:valAx>
        <c:axId val="31049272"/>
        <c:scaling>
          <c:orientation val="minMax"/>
          <c:min val="0"/>
        </c:scaling>
        <c:axPos val="l"/>
        <c:majorGridlines>
          <c:spPr>
            <a:ln w="12700">
              <a:solidFill>
                <a:srgbClr val="000000"/>
              </a:solidFill>
            </a:ln>
          </c:spPr>
        </c:majorGridlines>
        <c:delete val="0"/>
        <c:numFmt formatCode="0.0" sourceLinked="0"/>
        <c:majorTickMark val="out"/>
        <c:minorTickMark val="none"/>
        <c:tickLblPos val="nextTo"/>
        <c:spPr>
          <a:ln w="3175">
            <a:solidFill>
              <a:srgbClr val="000000"/>
            </a:solidFill>
          </a:ln>
        </c:spPr>
        <c:crossAx val="3449919"/>
        <c:crossesAt val="1"/>
        <c:crossBetween val="between"/>
        <c:dispUnits/>
      </c:valAx>
      <c:spPr>
        <a:solidFill>
          <a:srgbClr val="969696"/>
        </a:solidFill>
        <a:ln w="12700">
          <a:solidFill>
            <a:srgbClr val="33333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rPr>
              <a:t>Havstigning i cm 
(havniveauet omkring 1880 er sat til 0)</a:t>
            </a:r>
          </a:p>
        </c:rich>
      </c:tx>
      <c:layout>
        <c:manualLayout>
          <c:xMode val="factor"/>
          <c:yMode val="factor"/>
          <c:x val="-0.02375"/>
          <c:y val="0"/>
        </c:manualLayout>
      </c:layout>
      <c:spPr>
        <a:noFill/>
        <a:ln>
          <a:noFill/>
        </a:ln>
      </c:spPr>
    </c:title>
    <c:plotArea>
      <c:layout>
        <c:manualLayout>
          <c:xMode val="edge"/>
          <c:yMode val="edge"/>
          <c:x val="0.011"/>
          <c:y val="0.2385"/>
          <c:w val="0.978"/>
          <c:h val="0.73325"/>
        </c:manualLayout>
      </c:layout>
      <c:barChart>
        <c:barDir val="col"/>
        <c:grouping val="stacked"/>
        <c:varyColors val="0"/>
        <c:ser>
          <c:idx val="0"/>
          <c:order val="0"/>
          <c:tx>
            <c:strRef>
              <c:f>'globale indikatorer'!$A$64</c:f>
              <c:strCache>
                <c:ptCount val="1"/>
                <c:pt idx="0">
                  <c:v>cm:</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'globale indikatorer'!$B$63:$BJ$63</c:f>
              <c:numCache/>
            </c:numRef>
          </c:cat>
          <c:val>
            <c:numRef>
              <c:f>'globale indikatorer'!$B$64:$BJ$64</c:f>
              <c:numCache/>
            </c:numRef>
          </c:val>
        </c:ser>
        <c:overlap val="100"/>
        <c:axId val="11007993"/>
        <c:axId val="31963074"/>
      </c:barChart>
      <c:catAx>
        <c:axId val="11007993"/>
        <c:scaling>
          <c:orientation val="minMax"/>
        </c:scaling>
        <c:axPos val="b"/>
        <c:delete val="0"/>
        <c:numFmt formatCode="General" sourceLinked="0"/>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31963074"/>
        <c:crosses val="autoZero"/>
        <c:auto val="1"/>
        <c:lblOffset val="100"/>
        <c:tickLblSkip val="3"/>
        <c:noMultiLvlLbl val="0"/>
      </c:catAx>
      <c:valAx>
        <c:axId val="31963074"/>
        <c:scaling>
          <c:orientation val="minMax"/>
          <c:max val="22"/>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1007993"/>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C0C0C0"/>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rPr>
              <a:t>Temperaturstigning  i </a:t>
            </a:r>
            <a:r>
              <a:rPr lang="en-US" cap="none" sz="1200" b="1" i="0" u="none" baseline="30000">
                <a:solidFill>
                  <a:srgbClr val="808080"/>
                </a:solidFill>
              </a:rPr>
              <a:t>o</a:t>
            </a:r>
            <a:r>
              <a:rPr lang="en-US" cap="none" sz="1200" b="1" i="0" u="none" baseline="0">
                <a:solidFill>
                  <a:srgbClr val="808080"/>
                </a:solidFill>
              </a:rPr>
              <a:t>C ved klodens overflade
</a:t>
            </a:r>
            <a:r>
              <a:rPr lang="en-US" cap="none" sz="1200" b="1" i="0" u="none" baseline="0">
                <a:solidFill>
                  <a:srgbClr val="808080"/>
                </a:solidFill>
              </a:rPr>
              <a:t>(gennemsnittet for 1880-1899 er sat til 0) </a:t>
            </a:r>
          </a:p>
        </c:rich>
      </c:tx>
      <c:layout>
        <c:manualLayout>
          <c:xMode val="factor"/>
          <c:yMode val="factor"/>
          <c:x val="-0.02825"/>
          <c:y val="0"/>
        </c:manualLayout>
      </c:layout>
      <c:spPr>
        <a:noFill/>
        <a:ln>
          <a:noFill/>
        </a:ln>
      </c:spPr>
    </c:title>
    <c:plotArea>
      <c:layout>
        <c:manualLayout>
          <c:xMode val="edge"/>
          <c:yMode val="edge"/>
          <c:x val="0.011"/>
          <c:y val="0.2325"/>
          <c:w val="0.978"/>
          <c:h val="0.7415"/>
        </c:manualLayout>
      </c:layout>
      <c:barChart>
        <c:barDir val="col"/>
        <c:grouping val="stacked"/>
        <c:varyColors val="0"/>
        <c:ser>
          <c:idx val="0"/>
          <c:order val="0"/>
          <c:tx>
            <c:strRef>
              <c:f>'globale indikatorer'!$A$36</c:f>
              <c:strCache>
                <c:ptCount val="1"/>
                <c:pt idx="0">
                  <c:v>oC:</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'globale indikatorer'!$B$35:$BJ$35</c:f>
              <c:numCache/>
            </c:numRef>
          </c:cat>
          <c:val>
            <c:numRef>
              <c:f>'globale indikatorer'!$B$36:$BJ$36</c:f>
              <c:numCache/>
            </c:numRef>
          </c:val>
        </c:ser>
        <c:overlap val="100"/>
        <c:axId val="19232211"/>
        <c:axId val="38872172"/>
      </c:barChart>
      <c:catAx>
        <c:axId val="1923221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38872172"/>
        <c:crossesAt val="-1"/>
        <c:auto val="1"/>
        <c:lblOffset val="100"/>
        <c:tickLblSkip val="3"/>
        <c:noMultiLvlLbl val="0"/>
      </c:catAx>
      <c:valAx>
        <c:axId val="38872172"/>
        <c:scaling>
          <c:orientation val="minMax"/>
          <c:max val="1.5"/>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9232211"/>
        <c:crossesAt val="1"/>
        <c:crossBetween val="between"/>
        <c:dispUnits/>
        <c:majorUnit val="0.5"/>
      </c:valAx>
      <c:spPr>
        <a:solidFill>
          <a:srgbClr val="C0C0C0"/>
        </a:solidFill>
        <a:ln w="12700">
          <a:solidFill>
            <a:srgbClr val="808080"/>
          </a:solidFill>
        </a:ln>
      </c:spPr>
    </c:plotArea>
    <c:plotVisOnly val="1"/>
    <c:dispBlanksAs val="gap"/>
    <c:showDLblsOverMax val="0"/>
  </c:chart>
  <c:spPr>
    <a:solidFill>
      <a:srgbClr val="C0C0C0"/>
    </a:solidFill>
    <a:ln w="3175">
      <a:solidFill>
        <a:srgbClr val="C0C0C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rPr>
              <a:t>CO</a:t>
            </a:r>
            <a:r>
              <a:rPr lang="en-US" cap="none" sz="1200" b="1" i="0" u="none" baseline="-25000">
                <a:solidFill>
                  <a:srgbClr val="808080"/>
                </a:solidFill>
              </a:rPr>
              <a:t>2</a:t>
            </a:r>
            <a:r>
              <a:rPr lang="en-US" cap="none" sz="1200" b="1" i="0" u="none" baseline="0">
                <a:solidFill>
                  <a:srgbClr val="808080"/>
                </a:solidFill>
              </a:rPr>
              <a:t> i atmosfæren (parts per million)</a:t>
            </a:r>
          </a:p>
        </c:rich>
      </c:tx>
      <c:layout>
        <c:manualLayout>
          <c:xMode val="factor"/>
          <c:yMode val="factor"/>
          <c:x val="-0.026"/>
          <c:y val="0"/>
        </c:manualLayout>
      </c:layout>
      <c:spPr>
        <a:noFill/>
        <a:ln>
          <a:noFill/>
        </a:ln>
      </c:spPr>
    </c:title>
    <c:plotArea>
      <c:layout>
        <c:manualLayout>
          <c:xMode val="edge"/>
          <c:yMode val="edge"/>
          <c:x val="0.01125"/>
          <c:y val="0.176"/>
          <c:w val="0.9775"/>
          <c:h val="0.795"/>
        </c:manualLayout>
      </c:layout>
      <c:barChart>
        <c:barDir val="col"/>
        <c:grouping val="stacked"/>
        <c:varyColors val="0"/>
        <c:ser>
          <c:idx val="0"/>
          <c:order val="0"/>
          <c:tx>
            <c:strRef>
              <c:f>'globale indikatorer'!$A$8</c:f>
              <c:strCache>
                <c:ptCount val="1"/>
                <c:pt idx="0">
                  <c:v>ppm:</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'globale indikatorer'!$B$7:$BJ$7</c:f>
              <c:numCache/>
            </c:numRef>
          </c:cat>
          <c:val>
            <c:numRef>
              <c:f>'globale indikatorer'!$B$8:$BJ$8</c:f>
              <c:numCache/>
            </c:numRef>
          </c:val>
        </c:ser>
        <c:overlap val="100"/>
        <c:axId val="14305229"/>
        <c:axId val="61638198"/>
      </c:barChart>
      <c:catAx>
        <c:axId val="1430522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175" b="0" i="0" u="none" baseline="0">
                <a:solidFill>
                  <a:srgbClr val="000000"/>
                </a:solidFill>
                <a:latin typeface="Arial"/>
                <a:ea typeface="Arial"/>
                <a:cs typeface="Arial"/>
              </a:defRPr>
            </a:pPr>
          </a:p>
        </c:txPr>
        <c:crossAx val="61638198"/>
        <c:crosses val="autoZero"/>
        <c:auto val="1"/>
        <c:lblOffset val="100"/>
        <c:tickLblSkip val="3"/>
        <c:noMultiLvlLbl val="0"/>
      </c:catAx>
      <c:valAx>
        <c:axId val="616381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305229"/>
        <c:crossesAt val="1"/>
        <c:crossBetween val="between"/>
        <c:dispUnits/>
      </c:valAx>
      <c:spPr>
        <a:solidFill>
          <a:srgbClr val="C0C0C0"/>
        </a:solidFill>
        <a:ln w="12700">
          <a:solidFill>
            <a:srgbClr val="808080"/>
          </a:solidFill>
        </a:ln>
      </c:spPr>
    </c:plotArea>
    <c:plotVisOnly val="1"/>
    <c:dispBlanksAs val="gap"/>
    <c:showDLblsOverMax val="0"/>
  </c:chart>
  <c:spPr>
    <a:solidFill>
      <a:srgbClr val="C0C0C0"/>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rPr>
              <a:t>Klodens befolkningstal i mia mennesker</a:t>
            </a:r>
          </a:p>
        </c:rich>
      </c:tx>
      <c:layout>
        <c:manualLayout>
          <c:xMode val="factor"/>
          <c:yMode val="factor"/>
          <c:x val="-0.02375"/>
          <c:y val="0"/>
        </c:manualLayout>
      </c:layout>
      <c:spPr>
        <a:noFill/>
        <a:ln>
          <a:noFill/>
        </a:ln>
      </c:spPr>
    </c:title>
    <c:plotArea>
      <c:layout>
        <c:manualLayout>
          <c:xMode val="edge"/>
          <c:yMode val="edge"/>
          <c:x val="0.011"/>
          <c:y val="0.16775"/>
          <c:w val="0.978"/>
          <c:h val="0.80375"/>
        </c:manualLayout>
      </c:layout>
      <c:barChart>
        <c:barDir val="col"/>
        <c:grouping val="stacked"/>
        <c:varyColors val="0"/>
        <c:ser>
          <c:idx val="0"/>
          <c:order val="0"/>
          <c:tx>
            <c:strRef>
              <c:f>'globale indikatorer'!$A$92</c:f>
              <c:strCache>
                <c:ptCount val="1"/>
                <c:pt idx="0">
                  <c:v>mia mennesker: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'globale indikatorer'!$B$91:$BJ$91</c:f>
              <c:numCache/>
            </c:numRef>
          </c:cat>
          <c:val>
            <c:numRef>
              <c:f>'globale indikatorer'!$B$92:$BJ$92</c:f>
              <c:numCache/>
            </c:numRef>
          </c:val>
        </c:ser>
        <c:overlap val="100"/>
        <c:axId val="17872871"/>
        <c:axId val="26638112"/>
      </c:barChart>
      <c:catAx>
        <c:axId val="17872871"/>
        <c:scaling>
          <c:orientation val="minMax"/>
        </c:scaling>
        <c:axPos val="b"/>
        <c:delete val="0"/>
        <c:numFmt formatCode="General" sourceLinked="0"/>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26638112"/>
        <c:crosses val="autoZero"/>
        <c:auto val="1"/>
        <c:lblOffset val="100"/>
        <c:tickLblSkip val="5"/>
        <c:noMultiLvlLbl val="0"/>
      </c:catAx>
      <c:valAx>
        <c:axId val="26638112"/>
        <c:scaling>
          <c:orientation val="minMax"/>
          <c:max val="8"/>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787287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C0C0C0"/>
    </a:solidFill>
    <a:ln w="3175">
      <a:solidFill>
        <a:srgbClr val="C0C0C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mailto:clausandersen@stubnet.dk#clausandersen@stubnet.dk"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17</xdr:row>
      <xdr:rowOff>66675</xdr:rowOff>
    </xdr:from>
    <xdr:to>
      <xdr:col>11</xdr:col>
      <xdr:colOff>266700</xdr:colOff>
      <xdr:row>27</xdr:row>
      <xdr:rowOff>123825</xdr:rowOff>
    </xdr:to>
    <xdr:graphicFrame>
      <xdr:nvGraphicFramePr>
        <xdr:cNvPr id="1" name="Chart 1029"/>
        <xdr:cNvGraphicFramePr/>
      </xdr:nvGraphicFramePr>
      <xdr:xfrm>
        <a:off x="3924300" y="2971800"/>
        <a:ext cx="4972050" cy="1752600"/>
      </xdr:xfrm>
      <a:graphic>
        <a:graphicData uri="http://schemas.openxmlformats.org/drawingml/2006/chart">
          <c:chart xmlns:c="http://schemas.openxmlformats.org/drawingml/2006/chart" r:id="rId1"/>
        </a:graphicData>
      </a:graphic>
    </xdr:graphicFrame>
    <xdr:clientData/>
  </xdr:twoCellAnchor>
  <xdr:twoCellAnchor>
    <xdr:from>
      <xdr:col>11</xdr:col>
      <xdr:colOff>323850</xdr:colOff>
      <xdr:row>17</xdr:row>
      <xdr:rowOff>66675</xdr:rowOff>
    </xdr:from>
    <xdr:to>
      <xdr:col>23</xdr:col>
      <xdr:colOff>57150</xdr:colOff>
      <xdr:row>27</xdr:row>
      <xdr:rowOff>123825</xdr:rowOff>
    </xdr:to>
    <xdr:graphicFrame>
      <xdr:nvGraphicFramePr>
        <xdr:cNvPr id="2" name="Chart 1043"/>
        <xdr:cNvGraphicFramePr/>
      </xdr:nvGraphicFramePr>
      <xdr:xfrm>
        <a:off x="8953500" y="2971800"/>
        <a:ext cx="7048500" cy="17526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1228725</xdr:colOff>
      <xdr:row>64</xdr:row>
      <xdr:rowOff>123825</xdr:rowOff>
    </xdr:from>
    <xdr:to>
      <xdr:col>14</xdr:col>
      <xdr:colOff>600075</xdr:colOff>
      <xdr:row>86</xdr:row>
      <xdr:rowOff>0</xdr:rowOff>
    </xdr:to>
    <xdr:graphicFrame>
      <xdr:nvGraphicFramePr>
        <xdr:cNvPr id="1" name="Chart 2"/>
        <xdr:cNvGraphicFramePr/>
      </xdr:nvGraphicFramePr>
      <xdr:xfrm>
        <a:off x="1228725" y="10944225"/>
        <a:ext cx="8534400" cy="3438525"/>
      </xdr:xfrm>
      <a:graphic>
        <a:graphicData uri="http://schemas.openxmlformats.org/drawingml/2006/chart">
          <c:chart xmlns:c="http://schemas.openxmlformats.org/drawingml/2006/chart" r:id="rId1"/>
        </a:graphicData>
      </a:graphic>
    </xdr:graphicFrame>
    <xdr:clientData/>
  </xdr:twoCellAnchor>
  <xdr:twoCellAnchor>
    <xdr:from>
      <xdr:col>0</xdr:col>
      <xdr:colOff>1228725</xdr:colOff>
      <xdr:row>37</xdr:row>
      <xdr:rowOff>9525</xdr:rowOff>
    </xdr:from>
    <xdr:to>
      <xdr:col>14</xdr:col>
      <xdr:colOff>600075</xdr:colOff>
      <xdr:row>58</xdr:row>
      <xdr:rowOff>0</xdr:rowOff>
    </xdr:to>
    <xdr:graphicFrame>
      <xdr:nvGraphicFramePr>
        <xdr:cNvPr id="2" name="Chart 7"/>
        <xdr:cNvGraphicFramePr/>
      </xdr:nvGraphicFramePr>
      <xdr:xfrm>
        <a:off x="1228725" y="6115050"/>
        <a:ext cx="8534400" cy="37338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9</xdr:row>
      <xdr:rowOff>9525</xdr:rowOff>
    </xdr:from>
    <xdr:to>
      <xdr:col>14</xdr:col>
      <xdr:colOff>600075</xdr:colOff>
      <xdr:row>29</xdr:row>
      <xdr:rowOff>152400</xdr:rowOff>
    </xdr:to>
    <xdr:graphicFrame>
      <xdr:nvGraphicFramePr>
        <xdr:cNvPr id="3" name="Chart 11"/>
        <xdr:cNvGraphicFramePr/>
      </xdr:nvGraphicFramePr>
      <xdr:xfrm>
        <a:off x="1247775" y="1562100"/>
        <a:ext cx="8515350" cy="3381375"/>
      </xdr:xfrm>
      <a:graphic>
        <a:graphicData uri="http://schemas.openxmlformats.org/drawingml/2006/chart">
          <c:chart xmlns:c="http://schemas.openxmlformats.org/drawingml/2006/chart" r:id="rId3"/>
        </a:graphicData>
      </a:graphic>
    </xdr:graphicFrame>
    <xdr:clientData/>
  </xdr:twoCellAnchor>
  <xdr:twoCellAnchor>
    <xdr:from>
      <xdr:col>0</xdr:col>
      <xdr:colOff>1228725</xdr:colOff>
      <xdr:row>92</xdr:row>
      <xdr:rowOff>123825</xdr:rowOff>
    </xdr:from>
    <xdr:to>
      <xdr:col>14</xdr:col>
      <xdr:colOff>600075</xdr:colOff>
      <xdr:row>114</xdr:row>
      <xdr:rowOff>0</xdr:rowOff>
    </xdr:to>
    <xdr:graphicFrame>
      <xdr:nvGraphicFramePr>
        <xdr:cNvPr id="4" name="Chart 12"/>
        <xdr:cNvGraphicFramePr/>
      </xdr:nvGraphicFramePr>
      <xdr:xfrm>
        <a:off x="1228725" y="15478125"/>
        <a:ext cx="8534400" cy="3438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10.x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6.xml" /><Relationship Id="rId3"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8.xml" /><Relationship Id="rId3" Type="http://schemas.openxmlformats.org/officeDocument/2006/relationships/vmlDrawing" Target="../drawings/vmlDrawing8.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ydhavnstippen.dk/klimakilder" TargetMode="External" /><Relationship Id="rId2" Type="http://schemas.openxmlformats.org/officeDocument/2006/relationships/comments" Target="../comments9.xml" /><Relationship Id="rId3" Type="http://schemas.openxmlformats.org/officeDocument/2006/relationships/vmlDrawing" Target="../drawings/vmlDrawing9.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AB212"/>
  <sheetViews>
    <sheetView tabSelected="1" zoomScalePageLayoutView="0" workbookViewId="0" topLeftCell="C1">
      <selection activeCell="C2" sqref="C2:D2"/>
    </sheetView>
  </sheetViews>
  <sheetFormatPr defaultColWidth="9.140625" defaultRowHeight="12.75"/>
  <cols>
    <col min="1" max="1" width="9.140625" style="0" hidden="1" customWidth="1"/>
    <col min="2" max="2" width="8.57421875" style="0" hidden="1" customWidth="1"/>
    <col min="3" max="3" width="19.7109375" style="0" customWidth="1"/>
    <col min="4" max="5" width="18.57421875" style="0" customWidth="1"/>
    <col min="6" max="6" width="18.57421875" style="0" hidden="1" customWidth="1"/>
    <col min="7" max="8" width="18.57421875" style="0" customWidth="1"/>
    <col min="9" max="9" width="9.140625" style="0" hidden="1" customWidth="1"/>
    <col min="10" max="10" width="15.140625" style="0" hidden="1" customWidth="1"/>
    <col min="11" max="11" width="15.57421875" style="0" hidden="1" customWidth="1"/>
  </cols>
  <sheetData>
    <row r="1" spans="1:11" ht="12.75">
      <c r="A1" s="115" t="s">
        <v>336</v>
      </c>
      <c r="C1" s="115" t="s">
        <v>433</v>
      </c>
      <c r="D1" s="1"/>
      <c r="F1" s="335" t="s">
        <v>286</v>
      </c>
      <c r="G1" s="335"/>
      <c r="I1" s="335" t="s">
        <v>286</v>
      </c>
      <c r="J1" s="335" t="s">
        <v>286</v>
      </c>
      <c r="K1" s="335" t="s">
        <v>286</v>
      </c>
    </row>
    <row r="2" spans="1:6" ht="15.75">
      <c r="A2" s="312" t="s">
        <v>413</v>
      </c>
      <c r="C2" s="312" t="s">
        <v>432</v>
      </c>
      <c r="D2" s="209"/>
      <c r="E2" s="129"/>
      <c r="F2" s="129"/>
    </row>
    <row r="3" ht="12.75">
      <c r="A3" s="336" t="s">
        <v>203</v>
      </c>
    </row>
    <row r="4" spans="2:13" ht="12.75">
      <c r="B4" s="220"/>
      <c r="C4" s="197"/>
      <c r="F4" s="212"/>
      <c r="J4" s="169"/>
      <c r="K4" s="169"/>
      <c r="M4" s="169"/>
    </row>
    <row r="5" spans="2:8" ht="12.75">
      <c r="B5" s="666" t="s">
        <v>409</v>
      </c>
      <c r="C5" s="333"/>
      <c r="D5" s="333"/>
      <c r="E5" s="315"/>
      <c r="F5" s="316"/>
      <c r="G5" s="287"/>
      <c r="H5" s="315"/>
    </row>
    <row r="6" spans="2:28" ht="12.75">
      <c r="B6" s="334"/>
      <c r="C6" s="286"/>
      <c r="D6" s="286" t="s">
        <v>404</v>
      </c>
      <c r="E6" s="313"/>
      <c r="F6" s="313"/>
      <c r="G6" s="313"/>
      <c r="H6" s="285"/>
      <c r="Q6" s="31"/>
      <c r="R6" s="31"/>
      <c r="S6" s="31"/>
      <c r="T6" s="31"/>
      <c r="U6" s="31"/>
      <c r="V6" s="31"/>
      <c r="W6" s="31"/>
      <c r="X6" s="31"/>
      <c r="Y6" s="31"/>
      <c r="Z6" s="31"/>
      <c r="AA6" s="31"/>
      <c r="AB6" s="31"/>
    </row>
    <row r="7" spans="2:28" ht="12.75">
      <c r="B7" s="287" t="s">
        <v>251</v>
      </c>
      <c r="C7" s="341" t="s">
        <v>424</v>
      </c>
      <c r="D7" s="289" t="s">
        <v>244</v>
      </c>
      <c r="E7" s="289" t="s">
        <v>403</v>
      </c>
      <c r="F7" s="289" t="s">
        <v>156</v>
      </c>
      <c r="G7" s="289" t="s">
        <v>434</v>
      </c>
      <c r="H7" s="289" t="s">
        <v>435</v>
      </c>
      <c r="Q7" s="31"/>
      <c r="R7" s="221"/>
      <c r="S7" s="31"/>
      <c r="T7" s="215"/>
      <c r="U7" s="216"/>
      <c r="V7" s="216"/>
      <c r="W7" s="216"/>
      <c r="AA7" s="31"/>
      <c r="AB7" s="31"/>
    </row>
    <row r="8" spans="2:28" ht="12.75">
      <c r="B8" s="667"/>
      <c r="C8" s="668"/>
      <c r="D8" s="667"/>
      <c r="E8" s="667" t="s">
        <v>349</v>
      </c>
      <c r="F8" s="667"/>
      <c r="G8" s="667" t="s">
        <v>402</v>
      </c>
      <c r="H8" s="667" t="s">
        <v>393</v>
      </c>
      <c r="K8" s="214"/>
      <c r="Q8" s="222"/>
      <c r="R8" s="223"/>
      <c r="S8" s="200"/>
      <c r="T8" s="213"/>
      <c r="U8" s="217"/>
      <c r="V8" s="218"/>
      <c r="W8" s="224"/>
      <c r="AA8" s="31"/>
      <c r="AB8" s="31"/>
    </row>
    <row r="9" spans="1:28" ht="12.75">
      <c r="A9" s="269"/>
      <c r="B9" s="614">
        <v>87</v>
      </c>
      <c r="C9" s="679" t="s">
        <v>421</v>
      </c>
      <c r="D9" s="680" t="s">
        <v>246</v>
      </c>
      <c r="E9" s="681">
        <v>121.74573818939598</v>
      </c>
      <c r="F9" s="682">
        <v>6485133000</v>
      </c>
      <c r="G9" s="681">
        <v>789537304341.4121</v>
      </c>
      <c r="H9" s="683">
        <f aca="true" t="shared" si="0" ref="H9:H40">G9/789537304341.412</f>
        <v>1.0000000000000002</v>
      </c>
      <c r="Q9" s="204"/>
      <c r="R9" s="6"/>
      <c r="S9" s="21"/>
      <c r="T9" s="213"/>
      <c r="U9" s="217"/>
      <c r="V9" s="218"/>
      <c r="W9" s="224"/>
      <c r="AA9" s="31"/>
      <c r="AB9" s="31"/>
    </row>
    <row r="10" spans="1:28" ht="12.75">
      <c r="A10" s="269"/>
      <c r="B10" s="675"/>
      <c r="C10" s="684" t="s">
        <v>35</v>
      </c>
      <c r="D10" s="685" t="s">
        <v>247</v>
      </c>
      <c r="E10" s="686">
        <v>3.74822932673288</v>
      </c>
      <c r="F10" s="687">
        <v>2992000</v>
      </c>
      <c r="G10" s="686">
        <v>11214702.145584777</v>
      </c>
      <c r="H10" s="683">
        <f t="shared" si="0"/>
        <v>1.420414473631421E-05</v>
      </c>
      <c r="Q10" s="204"/>
      <c r="R10" s="6"/>
      <c r="S10" s="21"/>
      <c r="T10" s="213"/>
      <c r="U10" s="217"/>
      <c r="V10" s="218"/>
      <c r="W10" s="224"/>
      <c r="AA10" s="31"/>
      <c r="AB10" s="31"/>
    </row>
    <row r="11" spans="1:28" ht="12.75">
      <c r="A11" s="269"/>
      <c r="B11" s="613">
        <v>79</v>
      </c>
      <c r="C11" s="684" t="s">
        <v>51</v>
      </c>
      <c r="D11" s="688" t="s">
        <v>248</v>
      </c>
      <c r="E11" s="686">
        <v>0</v>
      </c>
      <c r="F11" s="687">
        <v>33363000</v>
      </c>
      <c r="G11" s="686">
        <v>0</v>
      </c>
      <c r="H11" s="683">
        <f t="shared" si="0"/>
        <v>0</v>
      </c>
      <c r="I11" s="602" t="str">
        <f>beregningsark!A30</f>
        <v>Albania</v>
      </c>
      <c r="J11" s="603"/>
      <c r="K11" s="603"/>
      <c r="Q11" s="204"/>
      <c r="R11" s="52"/>
      <c r="S11" s="21"/>
      <c r="T11" s="213"/>
      <c r="U11" s="217"/>
      <c r="V11" s="218"/>
      <c r="W11" s="224"/>
      <c r="AA11" s="31"/>
      <c r="AB11" s="31"/>
    </row>
    <row r="12" spans="1:28" ht="12.75">
      <c r="A12" s="269"/>
      <c r="B12" s="614">
        <v>40</v>
      </c>
      <c r="C12" s="679" t="s">
        <v>152</v>
      </c>
      <c r="D12" s="685" t="s">
        <v>247</v>
      </c>
      <c r="E12" s="681">
        <v>8.481986551861931</v>
      </c>
      <c r="F12" s="682">
        <v>12264000</v>
      </c>
      <c r="G12" s="681">
        <v>104023083.07203473</v>
      </c>
      <c r="H12" s="683">
        <f t="shared" si="0"/>
        <v>0.00013175195459422273</v>
      </c>
      <c r="I12" s="604">
        <f>beregningsark!B24</f>
        <v>3.74822932673288</v>
      </c>
      <c r="J12" s="605">
        <f>beregningsark!B30</f>
        <v>2992000</v>
      </c>
      <c r="K12" s="604">
        <f>beregningsark!B23</f>
        <v>11214702.145584777</v>
      </c>
      <c r="Q12" s="204"/>
      <c r="R12" s="6"/>
      <c r="S12" s="21"/>
      <c r="T12" s="213"/>
      <c r="U12" s="217"/>
      <c r="V12" s="218"/>
      <c r="W12" s="224"/>
      <c r="AA12" s="31"/>
      <c r="AB12" s="31"/>
    </row>
    <row r="13" spans="1:28" ht="12.75">
      <c r="A13" s="269"/>
      <c r="B13" s="613">
        <v>66</v>
      </c>
      <c r="C13" s="684" t="s">
        <v>75</v>
      </c>
      <c r="D13" s="685" t="s">
        <v>247</v>
      </c>
      <c r="E13" s="686">
        <v>31.782064959597793</v>
      </c>
      <c r="F13" s="687">
        <v>40049000</v>
      </c>
      <c r="G13" s="686">
        <v>1272839919.566932</v>
      </c>
      <c r="H13" s="683">
        <f t="shared" si="0"/>
        <v>0.0016121339834964026</v>
      </c>
      <c r="I13" s="676">
        <v>0</v>
      </c>
      <c r="J13" s="677">
        <f>J12</f>
        <v>2992000</v>
      </c>
      <c r="K13" s="676">
        <v>0</v>
      </c>
      <c r="Q13" s="204"/>
      <c r="R13" s="6"/>
      <c r="S13" s="21"/>
      <c r="T13" s="213"/>
      <c r="U13" s="217"/>
      <c r="V13" s="218"/>
      <c r="W13" s="224"/>
      <c r="AA13" s="31"/>
      <c r="AB13" s="31"/>
    </row>
    <row r="14" spans="1:28" ht="12.75">
      <c r="A14" s="269"/>
      <c r="B14" s="613">
        <v>69</v>
      </c>
      <c r="C14" s="684" t="s">
        <v>80</v>
      </c>
      <c r="D14" s="685" t="s">
        <v>247</v>
      </c>
      <c r="E14" s="686">
        <v>17.66574710753857</v>
      </c>
      <c r="F14" s="687">
        <v>2972000</v>
      </c>
      <c r="G14" s="686">
        <v>52502600.403604634</v>
      </c>
      <c r="H14" s="683">
        <f t="shared" si="0"/>
        <v>6.649793507527726E-05</v>
      </c>
      <c r="Q14" s="204"/>
      <c r="R14" s="52"/>
      <c r="S14" s="21"/>
      <c r="T14" s="213"/>
      <c r="U14" s="217"/>
      <c r="V14" s="218"/>
      <c r="W14" s="224"/>
      <c r="AA14" s="31"/>
      <c r="AB14" s="31"/>
    </row>
    <row r="15" spans="1:28" ht="12.75">
      <c r="A15" s="269"/>
      <c r="B15" s="613">
        <v>8</v>
      </c>
      <c r="C15" s="684" t="s">
        <v>59</v>
      </c>
      <c r="D15" s="689" t="s">
        <v>275</v>
      </c>
      <c r="E15" s="686">
        <v>1384.507663654402</v>
      </c>
      <c r="F15" s="687">
        <v>20750000</v>
      </c>
      <c r="G15" s="686">
        <v>28728534020.828842</v>
      </c>
      <c r="H15" s="683">
        <f t="shared" si="0"/>
        <v>0.03638654419855764</v>
      </c>
      <c r="Q15" s="204"/>
      <c r="R15" s="6"/>
      <c r="S15" s="21"/>
      <c r="T15" s="213"/>
      <c r="U15" s="217"/>
      <c r="V15" s="218"/>
      <c r="W15" s="224"/>
      <c r="AA15" s="31"/>
      <c r="AB15" s="31"/>
    </row>
    <row r="16" spans="1:28" ht="12.75">
      <c r="A16" s="269"/>
      <c r="B16" s="613">
        <v>20</v>
      </c>
      <c r="C16" s="684" t="s">
        <v>23</v>
      </c>
      <c r="D16" s="680" t="s">
        <v>246</v>
      </c>
      <c r="E16" s="686">
        <v>517.1064311538987</v>
      </c>
      <c r="F16" s="687">
        <v>8200000</v>
      </c>
      <c r="G16" s="686">
        <v>4240272735.4619694</v>
      </c>
      <c r="H16" s="683">
        <f t="shared" si="0"/>
        <v>0.005370579340768412</v>
      </c>
      <c r="Q16" s="204"/>
      <c r="R16" s="52"/>
      <c r="S16" s="21"/>
      <c r="T16" s="213"/>
      <c r="U16" s="217"/>
      <c r="V16" s="218"/>
      <c r="W16" s="224"/>
      <c r="AA16" s="31"/>
      <c r="AB16" s="31"/>
    </row>
    <row r="17" spans="1:28" ht="12.75">
      <c r="A17" s="269"/>
      <c r="B17" s="613"/>
      <c r="C17" s="684" t="s">
        <v>87</v>
      </c>
      <c r="D17" s="688" t="s">
        <v>248</v>
      </c>
      <c r="E17" s="686">
        <v>0</v>
      </c>
      <c r="F17" s="687">
        <v>8120000</v>
      </c>
      <c r="G17" s="686">
        <v>0</v>
      </c>
      <c r="H17" s="683">
        <f t="shared" si="0"/>
        <v>0</v>
      </c>
      <c r="Q17" s="204"/>
      <c r="R17" s="52"/>
      <c r="S17" s="21"/>
      <c r="T17" s="213"/>
      <c r="U17" s="217"/>
      <c r="V17" s="218"/>
      <c r="W17" s="224"/>
      <c r="AA17" s="31"/>
      <c r="AB17" s="31"/>
    </row>
    <row r="18" spans="1:28" ht="12.75">
      <c r="A18" s="269"/>
      <c r="B18" s="613">
        <v>4</v>
      </c>
      <c r="C18" s="684" t="s">
        <v>133</v>
      </c>
      <c r="D18" s="688" t="s">
        <v>248</v>
      </c>
      <c r="E18" s="686">
        <v>0</v>
      </c>
      <c r="F18" s="687">
        <v>148894000</v>
      </c>
      <c r="G18" s="686">
        <v>0</v>
      </c>
      <c r="H18" s="683">
        <f t="shared" si="0"/>
        <v>0</v>
      </c>
      <c r="Q18" s="204"/>
      <c r="R18" s="52"/>
      <c r="S18" s="21"/>
      <c r="T18" s="213"/>
      <c r="U18" s="217"/>
      <c r="V18" s="218"/>
      <c r="W18" s="224"/>
      <c r="AA18" s="31"/>
      <c r="AB18" s="31"/>
    </row>
    <row r="19" spans="1:28" ht="12.75">
      <c r="A19" s="269"/>
      <c r="B19" s="613"/>
      <c r="C19" s="684" t="s">
        <v>61</v>
      </c>
      <c r="D19" s="688" t="s">
        <v>248</v>
      </c>
      <c r="E19" s="686">
        <v>0</v>
      </c>
      <c r="F19" s="687">
        <v>9725000</v>
      </c>
      <c r="G19" s="686">
        <v>0</v>
      </c>
      <c r="H19" s="683">
        <f t="shared" si="0"/>
        <v>0</v>
      </c>
      <c r="Q19" s="204"/>
      <c r="R19" s="52"/>
      <c r="S19" s="21"/>
      <c r="T19" s="213"/>
      <c r="U19" s="217"/>
      <c r="V19" s="218"/>
      <c r="W19" s="224"/>
      <c r="AA19" s="31"/>
      <c r="AB19" s="31"/>
    </row>
    <row r="20" spans="1:28" ht="12.75">
      <c r="A20" s="269"/>
      <c r="B20" s="613">
        <v>60</v>
      </c>
      <c r="C20" s="684" t="s">
        <v>89</v>
      </c>
      <c r="D20" s="680" t="s">
        <v>246</v>
      </c>
      <c r="E20" s="686">
        <v>840.6929186105642</v>
      </c>
      <c r="F20" s="687">
        <v>10392000</v>
      </c>
      <c r="G20" s="686">
        <v>8736480810.200983</v>
      </c>
      <c r="H20" s="683">
        <f t="shared" si="0"/>
        <v>0.011065317322135233</v>
      </c>
      <c r="Q20" s="204"/>
      <c r="R20" s="52"/>
      <c r="S20" s="21"/>
      <c r="T20" s="213"/>
      <c r="U20" s="217"/>
      <c r="V20" s="218"/>
      <c r="W20" s="224"/>
      <c r="AA20" s="31"/>
      <c r="AB20" s="31"/>
    </row>
    <row r="21" spans="1:28" ht="12.75">
      <c r="A21" s="269"/>
      <c r="B21" s="613">
        <v>15</v>
      </c>
      <c r="C21" s="684" t="s">
        <v>147</v>
      </c>
      <c r="D21" s="688" t="s">
        <v>248</v>
      </c>
      <c r="E21" s="690">
        <v>0</v>
      </c>
      <c r="F21" s="691">
        <v>8278000</v>
      </c>
      <c r="G21" s="686">
        <v>0</v>
      </c>
      <c r="H21" s="683">
        <f t="shared" si="0"/>
        <v>0</v>
      </c>
      <c r="Q21" s="204"/>
      <c r="R21" s="52"/>
      <c r="S21" s="21"/>
      <c r="T21" s="213"/>
      <c r="U21" s="217"/>
      <c r="V21" s="218"/>
      <c r="W21" s="224"/>
      <c r="AA21" s="31"/>
      <c r="AB21" s="31"/>
    </row>
    <row r="22" spans="1:28" ht="12.75">
      <c r="A22" s="269"/>
      <c r="B22" s="613">
        <v>53</v>
      </c>
      <c r="C22" s="684" t="s">
        <v>50</v>
      </c>
      <c r="D22" s="688" t="s">
        <v>248</v>
      </c>
      <c r="E22" s="686">
        <v>0</v>
      </c>
      <c r="F22" s="687">
        <v>673000</v>
      </c>
      <c r="G22" s="686">
        <v>0</v>
      </c>
      <c r="H22" s="683">
        <f t="shared" si="0"/>
        <v>0</v>
      </c>
      <c r="Q22" s="204"/>
      <c r="R22" s="52"/>
      <c r="S22" s="21"/>
      <c r="T22" s="213"/>
      <c r="U22" s="217"/>
      <c r="V22" s="218"/>
      <c r="W22" s="224"/>
      <c r="AA22" s="31"/>
      <c r="AB22" s="31"/>
    </row>
    <row r="23" spans="1:28" ht="12.75">
      <c r="A23" s="269"/>
      <c r="B23" s="613"/>
      <c r="C23" s="684" t="s">
        <v>131</v>
      </c>
      <c r="D23" s="685" t="s">
        <v>247</v>
      </c>
      <c r="E23" s="686">
        <v>3.0973313589213713</v>
      </c>
      <c r="F23" s="687">
        <v>9426000</v>
      </c>
      <c r="G23" s="686">
        <v>29195445.389192846</v>
      </c>
      <c r="H23" s="683">
        <f t="shared" si="0"/>
        <v>3.697791760903059E-05</v>
      </c>
      <c r="Q23" s="204"/>
      <c r="R23" s="52"/>
      <c r="S23" s="21"/>
      <c r="T23" s="213"/>
      <c r="U23" s="217"/>
      <c r="V23" s="218"/>
      <c r="W23" s="224"/>
      <c r="AA23" s="31"/>
      <c r="AB23" s="31"/>
    </row>
    <row r="24" spans="1:28" ht="12.75">
      <c r="A24" s="269"/>
      <c r="B24" s="613"/>
      <c r="C24" s="684" t="s">
        <v>234</v>
      </c>
      <c r="D24" s="685" t="s">
        <v>247</v>
      </c>
      <c r="E24" s="686">
        <v>48.999300328388074</v>
      </c>
      <c r="F24" s="687">
        <v>4552000</v>
      </c>
      <c r="G24" s="686">
        <v>223044815.09482253</v>
      </c>
      <c r="H24" s="683">
        <f t="shared" si="0"/>
        <v>0.0002825006669961897</v>
      </c>
      <c r="Q24" s="204"/>
      <c r="R24" s="52"/>
      <c r="S24" s="21"/>
      <c r="T24" s="213"/>
      <c r="U24" s="217"/>
      <c r="V24" s="218"/>
      <c r="W24" s="224"/>
      <c r="AA24" s="31"/>
      <c r="AB24" s="31"/>
    </row>
    <row r="25" spans="1:28" ht="12.75">
      <c r="A25" s="269"/>
      <c r="B25" s="613">
        <v>91</v>
      </c>
      <c r="C25" s="684" t="s">
        <v>142</v>
      </c>
      <c r="D25" s="685" t="s">
        <v>247</v>
      </c>
      <c r="E25" s="686">
        <v>18.658769636890028</v>
      </c>
      <c r="F25" s="687">
        <v>1913000</v>
      </c>
      <c r="G25" s="686">
        <v>35694226.31537063</v>
      </c>
      <c r="H25" s="683">
        <f t="shared" si="0"/>
        <v>4.520904347280305E-05</v>
      </c>
      <c r="Q25" s="204"/>
      <c r="R25" s="52"/>
      <c r="S25" s="21"/>
      <c r="T25" s="213"/>
      <c r="U25" s="217"/>
      <c r="V25" s="218"/>
      <c r="W25" s="224"/>
      <c r="AA25" s="31"/>
      <c r="AB25" s="31"/>
    </row>
    <row r="26" spans="1:28" ht="12.75">
      <c r="A26" s="269"/>
      <c r="B26" s="613">
        <v>56</v>
      </c>
      <c r="C26" s="684" t="s">
        <v>68</v>
      </c>
      <c r="D26" s="685" t="s">
        <v>247</v>
      </c>
      <c r="E26" s="686">
        <v>17.67462925963447</v>
      </c>
      <c r="F26" s="687">
        <v>193919000</v>
      </c>
      <c r="G26" s="686">
        <v>3427446431.399057</v>
      </c>
      <c r="H26" s="683">
        <f t="shared" si="0"/>
        <v>0.0043410823181534676</v>
      </c>
      <c r="Q26" s="204"/>
      <c r="R26" s="52"/>
      <c r="S26" s="21"/>
      <c r="T26" s="213"/>
      <c r="U26" s="217"/>
      <c r="V26" s="218"/>
      <c r="W26" s="224"/>
      <c r="AA26" s="31"/>
      <c r="AB26" s="31"/>
    </row>
    <row r="27" spans="1:28" ht="12.75">
      <c r="A27" s="269"/>
      <c r="B27" s="613">
        <v>75</v>
      </c>
      <c r="C27" s="684" t="s">
        <v>71</v>
      </c>
      <c r="D27" s="685" t="s">
        <v>247</v>
      </c>
      <c r="E27" s="686">
        <v>55.32470731788696</v>
      </c>
      <c r="F27" s="687">
        <v>7323000</v>
      </c>
      <c r="G27" s="686">
        <v>405142831.6888862</v>
      </c>
      <c r="H27" s="683">
        <f t="shared" si="0"/>
        <v>0.0005131395685310067</v>
      </c>
      <c r="Q27" s="204"/>
      <c r="R27" s="52"/>
      <c r="S27" s="21"/>
      <c r="T27" s="213"/>
      <c r="U27" s="217"/>
      <c r="V27" s="218"/>
      <c r="W27" s="224"/>
      <c r="AA27" s="31"/>
      <c r="AB27" s="31"/>
    </row>
    <row r="28" spans="1:28" ht="12.75">
      <c r="A28" s="269"/>
      <c r="B28" s="613">
        <v>76</v>
      </c>
      <c r="C28" s="684" t="s">
        <v>123</v>
      </c>
      <c r="D28" s="688" t="s">
        <v>248</v>
      </c>
      <c r="E28" s="686">
        <v>0</v>
      </c>
      <c r="F28" s="687">
        <v>14797000</v>
      </c>
      <c r="G28" s="686">
        <v>0</v>
      </c>
      <c r="H28" s="683">
        <f t="shared" si="0"/>
        <v>0</v>
      </c>
      <c r="Q28" s="204"/>
      <c r="R28" s="52"/>
      <c r="S28" s="21"/>
      <c r="T28" s="213"/>
      <c r="U28" s="217"/>
      <c r="V28" s="218"/>
      <c r="W28" s="224"/>
      <c r="AA28" s="31"/>
      <c r="AB28" s="31"/>
    </row>
    <row r="29" spans="1:28" ht="12.75">
      <c r="A29" s="269"/>
      <c r="B29" s="613">
        <v>5</v>
      </c>
      <c r="C29" s="684" t="s">
        <v>134</v>
      </c>
      <c r="D29" s="688" t="s">
        <v>248</v>
      </c>
      <c r="E29" s="686">
        <v>0</v>
      </c>
      <c r="F29" s="687">
        <v>8783000</v>
      </c>
      <c r="G29" s="686">
        <v>0</v>
      </c>
      <c r="H29" s="683">
        <f t="shared" si="0"/>
        <v>0</v>
      </c>
      <c r="Q29" s="204"/>
      <c r="R29" s="52"/>
      <c r="S29" s="21"/>
      <c r="T29" s="213"/>
      <c r="U29" s="217"/>
      <c r="V29" s="218"/>
      <c r="W29" s="224"/>
      <c r="AA29" s="31"/>
      <c r="AB29" s="31"/>
    </row>
    <row r="30" spans="1:28" ht="12.75">
      <c r="A30" s="269"/>
      <c r="B30" s="613">
        <v>55</v>
      </c>
      <c r="C30" s="684" t="s">
        <v>141</v>
      </c>
      <c r="D30" s="688" t="s">
        <v>248</v>
      </c>
      <c r="E30" s="686">
        <v>0</v>
      </c>
      <c r="F30" s="687">
        <v>13719000</v>
      </c>
      <c r="G30" s="686">
        <v>0</v>
      </c>
      <c r="H30" s="683">
        <f t="shared" si="0"/>
        <v>0</v>
      </c>
      <c r="Q30" s="204"/>
      <c r="R30" s="52"/>
      <c r="S30" s="21"/>
      <c r="T30" s="213"/>
      <c r="U30" s="217"/>
      <c r="V30" s="218"/>
      <c r="W30" s="224"/>
      <c r="AA30" s="31"/>
      <c r="AB30" s="31"/>
    </row>
    <row r="31" spans="1:28" ht="12.75">
      <c r="A31" s="269"/>
      <c r="B31" s="613"/>
      <c r="C31" s="684" t="s">
        <v>127</v>
      </c>
      <c r="D31" s="688" t="s">
        <v>248</v>
      </c>
      <c r="E31" s="686">
        <v>0</v>
      </c>
      <c r="F31" s="687">
        <v>18060000</v>
      </c>
      <c r="G31" s="686">
        <v>0</v>
      </c>
      <c r="H31" s="683">
        <f t="shared" si="0"/>
        <v>0</v>
      </c>
      <c r="Q31" s="204"/>
      <c r="R31" s="52"/>
      <c r="S31" s="21"/>
      <c r="T31" s="213"/>
      <c r="U31" s="217"/>
      <c r="V31" s="218"/>
      <c r="W31" s="224"/>
      <c r="AA31" s="31"/>
      <c r="AB31" s="31"/>
    </row>
    <row r="32" spans="1:28" ht="12.75">
      <c r="A32" s="269"/>
      <c r="B32" s="613"/>
      <c r="C32" s="684" t="s">
        <v>2</v>
      </c>
      <c r="D32" s="689" t="s">
        <v>275</v>
      </c>
      <c r="E32" s="686">
        <v>1094.1171358164102</v>
      </c>
      <c r="F32" s="687">
        <v>32936000</v>
      </c>
      <c r="G32" s="686">
        <v>36035841985.24928</v>
      </c>
      <c r="H32" s="683">
        <f t="shared" si="0"/>
        <v>0.045641721787051434</v>
      </c>
      <c r="Q32" s="204"/>
      <c r="R32" s="52"/>
      <c r="S32" s="21"/>
      <c r="T32" s="213"/>
      <c r="U32" s="217"/>
      <c r="V32" s="218"/>
      <c r="W32" s="224"/>
      <c r="AA32" s="31"/>
      <c r="AB32" s="31"/>
    </row>
    <row r="33" spans="1:28" ht="12.75">
      <c r="A33" s="269"/>
      <c r="B33" s="613"/>
      <c r="C33" s="684" t="s">
        <v>235</v>
      </c>
      <c r="D33" s="688" t="s">
        <v>248</v>
      </c>
      <c r="E33" s="686">
        <v>0</v>
      </c>
      <c r="F33" s="687">
        <v>4544000</v>
      </c>
      <c r="G33" s="686">
        <v>0</v>
      </c>
      <c r="H33" s="683">
        <f t="shared" si="0"/>
        <v>0</v>
      </c>
      <c r="Q33" s="204"/>
      <c r="R33" s="52"/>
      <c r="S33" s="21"/>
      <c r="T33" s="213"/>
      <c r="U33" s="217"/>
      <c r="V33" s="218"/>
      <c r="W33" s="224"/>
      <c r="AA33" s="31"/>
      <c r="AB33" s="31"/>
    </row>
    <row r="34" spans="1:28" ht="12.75">
      <c r="A34" s="269"/>
      <c r="B34" s="613"/>
      <c r="C34" s="684" t="s">
        <v>144</v>
      </c>
      <c r="D34" s="688" t="s">
        <v>248</v>
      </c>
      <c r="E34" s="686">
        <v>0</v>
      </c>
      <c r="F34" s="687">
        <v>9886000</v>
      </c>
      <c r="G34" s="686">
        <v>0</v>
      </c>
      <c r="H34" s="683">
        <f t="shared" si="0"/>
        <v>0</v>
      </c>
      <c r="Q34" s="204"/>
      <c r="R34" s="52"/>
      <c r="S34" s="21"/>
      <c r="T34" s="213"/>
      <c r="U34" s="217"/>
      <c r="V34" s="218"/>
      <c r="W34" s="224"/>
      <c r="AA34" s="31"/>
      <c r="AB34" s="31"/>
    </row>
    <row r="35" spans="1:28" ht="12.75">
      <c r="A35" s="269"/>
      <c r="B35" s="613">
        <v>10</v>
      </c>
      <c r="C35" s="684" t="s">
        <v>29</v>
      </c>
      <c r="D35" s="685" t="s">
        <v>247</v>
      </c>
      <c r="E35" s="686">
        <v>77.57873159921176</v>
      </c>
      <c r="F35" s="687">
        <v>16304000</v>
      </c>
      <c r="G35" s="686">
        <v>1264843639.9935486</v>
      </c>
      <c r="H35" s="683">
        <f t="shared" si="0"/>
        <v>0.001602006178857642</v>
      </c>
      <c r="Q35" s="204"/>
      <c r="R35" s="52"/>
      <c r="S35" s="21"/>
      <c r="T35" s="213"/>
      <c r="U35" s="217"/>
      <c r="V35" s="218"/>
      <c r="W35" s="224"/>
      <c r="AA35" s="31"/>
      <c r="AB35" s="31"/>
    </row>
    <row r="36" spans="1:28" ht="12.75">
      <c r="A36" s="269"/>
      <c r="B36" s="613"/>
      <c r="C36" s="684" t="s">
        <v>117</v>
      </c>
      <c r="D36" s="685" t="s">
        <v>247</v>
      </c>
      <c r="E36" s="686">
        <v>19.176009998728556</v>
      </c>
      <c r="F36" s="687">
        <v>1310584000</v>
      </c>
      <c r="G36" s="686">
        <v>25131771888.173668</v>
      </c>
      <c r="H36" s="683">
        <f t="shared" si="0"/>
        <v>0.03183101260698149</v>
      </c>
      <c r="Q36" s="204"/>
      <c r="R36" s="52"/>
      <c r="S36" s="21"/>
      <c r="T36" s="213"/>
      <c r="U36" s="217"/>
      <c r="V36" s="218"/>
      <c r="W36" s="224"/>
      <c r="AA36" s="31"/>
      <c r="AB36" s="31"/>
    </row>
    <row r="37" spans="1:28" ht="12.75">
      <c r="A37" s="269"/>
      <c r="B37" s="613"/>
      <c r="C37" s="684" t="s">
        <v>25</v>
      </c>
      <c r="D37" s="688" t="s">
        <v>248</v>
      </c>
      <c r="E37" s="686">
        <v>0</v>
      </c>
      <c r="F37" s="687">
        <v>42597000</v>
      </c>
      <c r="G37" s="686">
        <v>0</v>
      </c>
      <c r="H37" s="683">
        <f t="shared" si="0"/>
        <v>0</v>
      </c>
      <c r="Q37" s="204"/>
      <c r="R37" s="52"/>
      <c r="S37" s="21"/>
      <c r="T37" s="213"/>
      <c r="U37" s="217"/>
      <c r="V37" s="218"/>
      <c r="W37" s="224"/>
      <c r="AA37" s="31"/>
      <c r="AB37" s="31"/>
    </row>
    <row r="38" spans="1:28" ht="12.75">
      <c r="A38" s="269"/>
      <c r="B38" s="613">
        <v>51</v>
      </c>
      <c r="C38" s="684" t="s">
        <v>267</v>
      </c>
      <c r="D38" s="688" t="s">
        <v>248</v>
      </c>
      <c r="E38" s="686">
        <v>0</v>
      </c>
      <c r="F38" s="687">
        <v>3802000</v>
      </c>
      <c r="G38" s="686">
        <v>0</v>
      </c>
      <c r="H38" s="683">
        <f t="shared" si="0"/>
        <v>0</v>
      </c>
      <c r="Q38" s="204"/>
      <c r="R38" s="52"/>
      <c r="S38" s="21"/>
      <c r="T38" s="213"/>
      <c r="U38" s="217"/>
      <c r="V38" s="218"/>
      <c r="W38" s="224"/>
      <c r="AA38" s="31"/>
      <c r="AB38" s="31"/>
    </row>
    <row r="39" spans="1:28" ht="12.75">
      <c r="A39" s="269"/>
      <c r="B39" s="613">
        <v>68</v>
      </c>
      <c r="C39" s="684" t="s">
        <v>18</v>
      </c>
      <c r="D39" s="688" t="s">
        <v>248</v>
      </c>
      <c r="E39" s="686">
        <v>0</v>
      </c>
      <c r="F39" s="687">
        <v>4331000</v>
      </c>
      <c r="G39" s="686">
        <v>0</v>
      </c>
      <c r="H39" s="683">
        <f t="shared" si="0"/>
        <v>0</v>
      </c>
      <c r="Q39" s="204"/>
      <c r="R39" s="52"/>
      <c r="S39" s="21"/>
      <c r="T39" s="213"/>
      <c r="U39" s="217"/>
      <c r="V39" s="218"/>
      <c r="W39" s="224"/>
      <c r="AA39" s="31"/>
      <c r="AB39" s="31"/>
    </row>
    <row r="40" spans="1:28" ht="12.75">
      <c r="A40" s="611"/>
      <c r="B40" s="613"/>
      <c r="C40" s="684" t="s">
        <v>102</v>
      </c>
      <c r="D40" s="688" t="s">
        <v>248</v>
      </c>
      <c r="E40" s="686">
        <v>0</v>
      </c>
      <c r="F40" s="687">
        <v>19747000</v>
      </c>
      <c r="G40" s="686">
        <v>0</v>
      </c>
      <c r="H40" s="683">
        <f t="shared" si="0"/>
        <v>0</v>
      </c>
      <c r="Q40" s="204"/>
      <c r="R40" s="52"/>
      <c r="S40" s="21"/>
      <c r="T40" s="213"/>
      <c r="U40" s="217"/>
      <c r="V40" s="218"/>
      <c r="W40" s="224"/>
      <c r="AA40" s="31"/>
      <c r="AB40" s="31"/>
    </row>
    <row r="41" spans="1:28" ht="12.75">
      <c r="A41" s="269"/>
      <c r="B41" s="613"/>
      <c r="C41" s="684" t="s">
        <v>45</v>
      </c>
      <c r="D41" s="685" t="s">
        <v>247</v>
      </c>
      <c r="E41" s="686">
        <v>94.09444275256888</v>
      </c>
      <c r="F41" s="687">
        <v>4493000</v>
      </c>
      <c r="G41" s="686">
        <v>422766331.287292</v>
      </c>
      <c r="H41" s="683">
        <f aca="true" t="shared" si="1" ref="H41:H72">G41/789537304341.412</f>
        <v>0.0005354608692491612</v>
      </c>
      <c r="Q41" s="204"/>
      <c r="R41" s="52"/>
      <c r="S41" s="21"/>
      <c r="T41" s="213"/>
      <c r="U41" s="217"/>
      <c r="V41" s="218"/>
      <c r="W41" s="224"/>
      <c r="AA41" s="31"/>
      <c r="AB41" s="31"/>
    </row>
    <row r="42" spans="1:28" ht="12.75">
      <c r="A42" s="269"/>
      <c r="B42" s="675" t="s">
        <v>412</v>
      </c>
      <c r="C42" s="684" t="s">
        <v>34</v>
      </c>
      <c r="D42" s="680" t="s">
        <v>246</v>
      </c>
      <c r="E42" s="686">
        <v>102.72475342047284</v>
      </c>
      <c r="F42" s="687">
        <v>10229000</v>
      </c>
      <c r="G42" s="686">
        <v>1050771502.7380166</v>
      </c>
      <c r="H42" s="683">
        <f t="shared" si="1"/>
        <v>0.00133086998797924</v>
      </c>
      <c r="Q42" s="204"/>
      <c r="R42" s="52"/>
      <c r="S42" s="21"/>
      <c r="T42" s="213"/>
      <c r="U42" s="217"/>
      <c r="V42" s="218"/>
      <c r="W42" s="224"/>
      <c r="AA42" s="31"/>
      <c r="AB42" s="31"/>
    </row>
    <row r="43" spans="1:8" ht="12.75">
      <c r="A43" s="269"/>
      <c r="B43" s="613"/>
      <c r="C43" s="684" t="s">
        <v>105</v>
      </c>
      <c r="D43" s="688" t="s">
        <v>248</v>
      </c>
      <c r="E43" s="686">
        <v>0</v>
      </c>
      <c r="F43" s="687">
        <v>64390000</v>
      </c>
      <c r="G43" s="686">
        <v>0</v>
      </c>
      <c r="H43" s="683">
        <f t="shared" si="1"/>
        <v>0</v>
      </c>
    </row>
    <row r="44" spans="1:28" ht="12.75">
      <c r="A44" s="269"/>
      <c r="B44" s="613">
        <v>47</v>
      </c>
      <c r="C44" s="684" t="s">
        <v>42</v>
      </c>
      <c r="D44" s="685" t="s">
        <v>247</v>
      </c>
      <c r="E44" s="686">
        <v>29.318032904552364</v>
      </c>
      <c r="F44" s="687">
        <v>5468000</v>
      </c>
      <c r="G44" s="686">
        <v>160311003.92209232</v>
      </c>
      <c r="H44" s="683">
        <f t="shared" si="1"/>
        <v>0.0002030442425463542</v>
      </c>
      <c r="Q44" s="204"/>
      <c r="R44" s="52"/>
      <c r="S44" s="21"/>
      <c r="T44" s="213"/>
      <c r="U44" s="217"/>
      <c r="V44" s="218"/>
      <c r="W44" s="224"/>
      <c r="AA44" s="31"/>
      <c r="AB44" s="31"/>
    </row>
    <row r="45" spans="1:28" ht="12.75">
      <c r="A45" s="269"/>
      <c r="B45" s="613">
        <v>28</v>
      </c>
      <c r="C45" s="684" t="s">
        <v>46</v>
      </c>
      <c r="D45" s="685" t="s">
        <v>247</v>
      </c>
      <c r="E45" s="686">
        <v>17.726892149661225</v>
      </c>
      <c r="F45" s="687">
        <v>9426000</v>
      </c>
      <c r="G45" s="686">
        <v>167093685.4027067</v>
      </c>
      <c r="H45" s="683">
        <f t="shared" si="1"/>
        <v>0.00021163494680227548</v>
      </c>
      <c r="Q45" s="204"/>
      <c r="R45" s="52"/>
      <c r="S45" s="21"/>
      <c r="T45" s="213"/>
      <c r="U45" s="217"/>
      <c r="V45" s="218"/>
      <c r="W45" s="224"/>
      <c r="AA45" s="31"/>
      <c r="AB45" s="31"/>
    </row>
    <row r="46" spans="1:28" ht="12.75">
      <c r="A46" s="269"/>
      <c r="B46" s="613">
        <v>54</v>
      </c>
      <c r="C46" s="684" t="s">
        <v>40</v>
      </c>
      <c r="D46" s="685" t="s">
        <v>247</v>
      </c>
      <c r="E46" s="686">
        <v>11.489547008791302</v>
      </c>
      <c r="F46" s="687">
        <v>14135000</v>
      </c>
      <c r="G46" s="686">
        <v>162404746.96926504</v>
      </c>
      <c r="H46" s="683">
        <f t="shared" si="1"/>
        <v>0.0002056961033712448</v>
      </c>
      <c r="Q46" s="204"/>
      <c r="R46" s="52"/>
      <c r="S46" s="21"/>
      <c r="T46" s="213"/>
      <c r="U46" s="217"/>
      <c r="V46" s="218"/>
      <c r="W46" s="224"/>
      <c r="AA46" s="31"/>
      <c r="AB46" s="31"/>
    </row>
    <row r="47" spans="1:28" ht="12.75">
      <c r="A47" s="269"/>
      <c r="B47" s="613"/>
      <c r="C47" s="684" t="s">
        <v>73</v>
      </c>
      <c r="D47" s="685" t="s">
        <v>247</v>
      </c>
      <c r="E47" s="686">
        <v>7.488822612978635</v>
      </c>
      <c r="F47" s="687">
        <v>75677000</v>
      </c>
      <c r="G47" s="686">
        <v>566731628.8823842</v>
      </c>
      <c r="H47" s="683">
        <f t="shared" si="1"/>
        <v>0.0007178022188009471</v>
      </c>
      <c r="Q47" s="204"/>
      <c r="R47" s="52"/>
      <c r="S47" s="21"/>
      <c r="T47" s="213"/>
      <c r="U47" s="217"/>
      <c r="V47" s="218"/>
      <c r="W47" s="224"/>
      <c r="AA47" s="31"/>
      <c r="AB47" s="31"/>
    </row>
    <row r="48" spans="1:28" ht="12.75">
      <c r="A48" s="269"/>
      <c r="B48" s="613"/>
      <c r="C48" s="684" t="s">
        <v>44</v>
      </c>
      <c r="D48" s="685" t="s">
        <v>247</v>
      </c>
      <c r="E48" s="686">
        <v>2.49974142065478</v>
      </c>
      <c r="F48" s="687">
        <v>5982000</v>
      </c>
      <c r="G48" s="686">
        <v>14953453.178356895</v>
      </c>
      <c r="H48" s="683">
        <f t="shared" si="1"/>
        <v>1.8939514442360936E-05</v>
      </c>
      <c r="Q48" s="204"/>
      <c r="R48" s="52"/>
      <c r="S48" s="21"/>
      <c r="T48" s="213"/>
      <c r="U48" s="217"/>
      <c r="V48" s="218"/>
      <c r="W48" s="224"/>
      <c r="AA48" s="31"/>
      <c r="AB48" s="31"/>
    </row>
    <row r="49" spans="1:28" ht="12.75">
      <c r="A49" s="269"/>
      <c r="B49" s="613"/>
      <c r="C49" s="684" t="s">
        <v>100</v>
      </c>
      <c r="D49" s="688" t="s">
        <v>248</v>
      </c>
      <c r="E49" s="686">
        <v>0</v>
      </c>
      <c r="F49" s="687">
        <v>5358000</v>
      </c>
      <c r="G49" s="686">
        <v>0</v>
      </c>
      <c r="H49" s="683">
        <f t="shared" si="1"/>
        <v>0</v>
      </c>
      <c r="Q49" s="204"/>
      <c r="R49" s="52"/>
      <c r="S49" s="21"/>
      <c r="T49" s="213"/>
      <c r="U49" s="217"/>
      <c r="V49" s="218"/>
      <c r="W49" s="224"/>
      <c r="AA49" s="31"/>
      <c r="AB49" s="31"/>
    </row>
    <row r="50" spans="1:28" ht="12.75">
      <c r="A50" s="269"/>
      <c r="B50" s="613">
        <v>72</v>
      </c>
      <c r="C50" s="684" t="s">
        <v>64</v>
      </c>
      <c r="D50" s="680" t="s">
        <v>246</v>
      </c>
      <c r="E50" s="686">
        <v>217.7385437995018</v>
      </c>
      <c r="F50" s="687">
        <v>1316000</v>
      </c>
      <c r="G50" s="686">
        <v>286543923.64014435</v>
      </c>
      <c r="H50" s="683">
        <f t="shared" si="1"/>
        <v>0.00036292639000656634</v>
      </c>
      <c r="Q50" s="204"/>
      <c r="R50" s="52"/>
      <c r="S50" s="21"/>
      <c r="T50" s="213"/>
      <c r="U50" s="217"/>
      <c r="V50" s="218"/>
      <c r="W50" s="224"/>
      <c r="AA50" s="31"/>
      <c r="AB50" s="31"/>
    </row>
    <row r="51" spans="1:28" ht="12.75">
      <c r="A51" s="269"/>
      <c r="B51" s="613">
        <v>78</v>
      </c>
      <c r="C51" s="684" t="s">
        <v>135</v>
      </c>
      <c r="D51" s="688" t="s">
        <v>248</v>
      </c>
      <c r="E51" s="686">
        <v>0</v>
      </c>
      <c r="F51" s="687">
        <v>79936000</v>
      </c>
      <c r="G51" s="686">
        <v>0</v>
      </c>
      <c r="H51" s="683">
        <f t="shared" si="1"/>
        <v>0</v>
      </c>
      <c r="Q51" s="204"/>
      <c r="R51" s="52"/>
      <c r="S51" s="21"/>
      <c r="T51" s="213"/>
      <c r="U51" s="217"/>
      <c r="V51" s="218"/>
      <c r="W51" s="224"/>
      <c r="AA51" s="31"/>
      <c r="AB51" s="31"/>
    </row>
    <row r="52" spans="1:28" ht="12.75">
      <c r="A52" s="269"/>
      <c r="B52" s="613">
        <v>84</v>
      </c>
      <c r="C52" s="684" t="s">
        <v>3</v>
      </c>
      <c r="D52" s="680" t="s">
        <v>246</v>
      </c>
      <c r="E52" s="686">
        <v>539.1320160272937</v>
      </c>
      <c r="F52" s="687">
        <v>5238000</v>
      </c>
      <c r="G52" s="686">
        <v>2823973499.9509645</v>
      </c>
      <c r="H52" s="683">
        <f t="shared" si="1"/>
        <v>0.0035767448661676166</v>
      </c>
      <c r="Q52" s="204"/>
      <c r="R52" s="52"/>
      <c r="S52" s="21"/>
      <c r="T52" s="213"/>
      <c r="U52" s="217"/>
      <c r="V52" s="218"/>
      <c r="W52" s="224"/>
      <c r="AA52" s="31"/>
      <c r="AB52" s="31"/>
    </row>
    <row r="53" spans="1:28" ht="12.75">
      <c r="A53" s="269"/>
      <c r="B53" s="613">
        <v>92</v>
      </c>
      <c r="C53" s="684" t="s">
        <v>22</v>
      </c>
      <c r="D53" s="680" t="s">
        <v>246</v>
      </c>
      <c r="E53" s="686">
        <v>261.1504206708021</v>
      </c>
      <c r="F53" s="687">
        <v>62226000</v>
      </c>
      <c r="G53" s="686">
        <v>16250346076.66133</v>
      </c>
      <c r="H53" s="683">
        <f t="shared" si="1"/>
        <v>0.02058211307724904</v>
      </c>
      <c r="Q53" s="204"/>
      <c r="R53" s="52"/>
      <c r="S53" s="21"/>
      <c r="T53" s="213"/>
      <c r="U53" s="217"/>
      <c r="V53" s="218"/>
      <c r="W53" s="224"/>
      <c r="AA53" s="31"/>
      <c r="AB53" s="31"/>
    </row>
    <row r="54" spans="1:28" ht="12.75">
      <c r="A54" s="269"/>
      <c r="B54" s="613">
        <v>12</v>
      </c>
      <c r="C54" s="684" t="s">
        <v>96</v>
      </c>
      <c r="D54" s="688" t="s">
        <v>248</v>
      </c>
      <c r="E54" s="686">
        <v>0</v>
      </c>
      <c r="F54" s="687">
        <v>1456000</v>
      </c>
      <c r="G54" s="686">
        <v>0</v>
      </c>
      <c r="H54" s="683">
        <f t="shared" si="1"/>
        <v>0</v>
      </c>
      <c r="Q54" s="204"/>
      <c r="R54" s="52"/>
      <c r="S54" s="21"/>
      <c r="T54" s="213"/>
      <c r="U54" s="217"/>
      <c r="V54" s="218"/>
      <c r="W54" s="224"/>
      <c r="AA54" s="31"/>
      <c r="AB54" s="31"/>
    </row>
    <row r="55" spans="1:28" ht="12.75">
      <c r="A55" s="269"/>
      <c r="B55" s="613"/>
      <c r="C55" s="684" t="s">
        <v>113</v>
      </c>
      <c r="D55" s="688" t="s">
        <v>248</v>
      </c>
      <c r="E55" s="686">
        <v>0</v>
      </c>
      <c r="F55" s="687">
        <v>1686000</v>
      </c>
      <c r="G55" s="686">
        <v>0</v>
      </c>
      <c r="H55" s="683">
        <f t="shared" si="1"/>
        <v>0</v>
      </c>
      <c r="Q55" s="204"/>
      <c r="R55" s="52"/>
      <c r="S55" s="21"/>
      <c r="T55" s="213"/>
      <c r="U55" s="217"/>
      <c r="V55" s="218"/>
      <c r="W55" s="224"/>
      <c r="AA55" s="31"/>
      <c r="AB55" s="31"/>
    </row>
    <row r="56" spans="1:28" ht="12.75">
      <c r="A56" s="269"/>
      <c r="B56" s="613">
        <v>33</v>
      </c>
      <c r="C56" s="684" t="s">
        <v>66</v>
      </c>
      <c r="D56" s="688" t="s">
        <v>248</v>
      </c>
      <c r="E56" s="686">
        <v>0</v>
      </c>
      <c r="F56" s="687">
        <v>4646000</v>
      </c>
      <c r="G56" s="686">
        <v>0</v>
      </c>
      <c r="H56" s="683">
        <f t="shared" si="1"/>
        <v>0</v>
      </c>
      <c r="Q56" s="204"/>
      <c r="R56" s="52"/>
      <c r="S56" s="21"/>
      <c r="T56" s="213"/>
      <c r="U56" s="217"/>
      <c r="V56" s="218"/>
      <c r="W56" s="224"/>
      <c r="AA56" s="31"/>
      <c r="AB56" s="31"/>
    </row>
    <row r="57" spans="1:28" ht="12.75">
      <c r="A57" s="269"/>
      <c r="B57" s="613"/>
      <c r="C57" s="684" t="s">
        <v>30</v>
      </c>
      <c r="D57" s="680" t="s">
        <v>246</v>
      </c>
      <c r="E57" s="686">
        <v>275.0928616151076</v>
      </c>
      <c r="F57" s="687">
        <v>82401000</v>
      </c>
      <c r="G57" s="686">
        <v>22667926889.946484</v>
      </c>
      <c r="H57" s="683">
        <f t="shared" si="1"/>
        <v>0.02871039375252168</v>
      </c>
      <c r="Q57" s="204"/>
      <c r="R57" s="52"/>
      <c r="S57" s="21"/>
      <c r="T57" s="213"/>
      <c r="U57" s="217"/>
      <c r="V57" s="218"/>
      <c r="W57" s="224"/>
      <c r="AA57" s="31"/>
      <c r="AB57" s="31"/>
    </row>
    <row r="58" spans="1:28" ht="12.75">
      <c r="A58" s="269"/>
      <c r="B58" s="613">
        <v>67</v>
      </c>
      <c r="C58" s="684" t="s">
        <v>108</v>
      </c>
      <c r="D58" s="688" t="s">
        <v>248</v>
      </c>
      <c r="E58" s="686">
        <v>0</v>
      </c>
      <c r="F58" s="687">
        <v>22981000</v>
      </c>
      <c r="G58" s="686">
        <v>0</v>
      </c>
      <c r="H58" s="683">
        <f t="shared" si="1"/>
        <v>0</v>
      </c>
      <c r="Q58" s="204"/>
      <c r="R58" s="52"/>
      <c r="S58" s="21"/>
      <c r="T58" s="213"/>
      <c r="U58" s="217"/>
      <c r="V58" s="218"/>
      <c r="W58" s="224"/>
      <c r="AA58" s="31"/>
      <c r="AB58" s="31"/>
    </row>
    <row r="59" spans="1:28" ht="12.75">
      <c r="A59" s="269"/>
      <c r="B59" s="613">
        <v>23</v>
      </c>
      <c r="C59" s="684" t="s">
        <v>76</v>
      </c>
      <c r="D59" s="680" t="s">
        <v>246</v>
      </c>
      <c r="E59" s="686">
        <v>384.2487721462054</v>
      </c>
      <c r="F59" s="687">
        <v>10706000</v>
      </c>
      <c r="G59" s="686">
        <v>4113767354.597275</v>
      </c>
      <c r="H59" s="683">
        <f t="shared" si="1"/>
        <v>0.005210352103665007</v>
      </c>
      <c r="Q59" s="204"/>
      <c r="R59" s="52"/>
      <c r="S59" s="21"/>
      <c r="T59" s="213"/>
      <c r="U59" s="217"/>
      <c r="V59" s="218"/>
      <c r="W59" s="224"/>
      <c r="AA59" s="31"/>
      <c r="AB59" s="31"/>
    </row>
    <row r="60" spans="1:28" ht="12.75">
      <c r="A60" s="269"/>
      <c r="B60" s="613">
        <v>32</v>
      </c>
      <c r="C60" s="684" t="s">
        <v>104</v>
      </c>
      <c r="D60" s="685" t="s">
        <v>247</v>
      </c>
      <c r="E60" s="686">
        <v>3.394339636952162</v>
      </c>
      <c r="F60" s="687">
        <v>12728000</v>
      </c>
      <c r="G60" s="686">
        <v>43203154.89912712</v>
      </c>
      <c r="H60" s="683">
        <f t="shared" si="1"/>
        <v>5.471958660036309E-05</v>
      </c>
      <c r="Q60" s="204"/>
      <c r="R60" s="52"/>
      <c r="S60" s="21"/>
      <c r="T60" s="213"/>
      <c r="U60" s="217"/>
      <c r="V60" s="218"/>
      <c r="W60" s="224"/>
      <c r="AA60" s="31"/>
      <c r="AB60" s="31"/>
    </row>
    <row r="61" spans="1:28" ht="12.75">
      <c r="A61" s="269"/>
      <c r="B61" s="613"/>
      <c r="C61" s="684" t="s">
        <v>130</v>
      </c>
      <c r="D61" s="688" t="s">
        <v>248</v>
      </c>
      <c r="E61" s="686">
        <v>0</v>
      </c>
      <c r="F61" s="687">
        <v>9569000</v>
      </c>
      <c r="G61" s="686">
        <v>0</v>
      </c>
      <c r="H61" s="683">
        <f t="shared" si="1"/>
        <v>0</v>
      </c>
      <c r="Q61" s="204"/>
      <c r="R61" s="52"/>
      <c r="S61" s="21"/>
      <c r="T61" s="213"/>
      <c r="U61" s="217"/>
      <c r="V61" s="218"/>
      <c r="W61" s="224"/>
      <c r="AA61" s="31"/>
      <c r="AB61" s="31"/>
    </row>
    <row r="62" spans="1:28" ht="12.75">
      <c r="A62" s="269"/>
      <c r="B62" s="613"/>
      <c r="C62" s="684" t="s">
        <v>126</v>
      </c>
      <c r="D62" s="688" t="s">
        <v>248</v>
      </c>
      <c r="E62" s="686">
        <v>0</v>
      </c>
      <c r="F62" s="687">
        <v>1473000</v>
      </c>
      <c r="G62" s="686">
        <v>0</v>
      </c>
      <c r="H62" s="683">
        <f t="shared" si="1"/>
        <v>0</v>
      </c>
      <c r="Q62" s="204"/>
      <c r="R62" s="52"/>
      <c r="S62" s="21"/>
      <c r="T62" s="213"/>
      <c r="U62" s="217"/>
      <c r="V62" s="218"/>
      <c r="W62" s="224"/>
      <c r="AA62" s="31"/>
      <c r="AB62" s="31"/>
    </row>
    <row r="63" spans="1:28" ht="12.75">
      <c r="A63" s="269"/>
      <c r="B63" s="613"/>
      <c r="C63" s="684" t="s">
        <v>148</v>
      </c>
      <c r="D63" s="688" t="s">
        <v>248</v>
      </c>
      <c r="E63" s="686">
        <v>0</v>
      </c>
      <c r="F63" s="687">
        <v>9500000</v>
      </c>
      <c r="G63" s="686">
        <v>0</v>
      </c>
      <c r="H63" s="683">
        <f t="shared" si="1"/>
        <v>0</v>
      </c>
      <c r="Q63" s="204"/>
      <c r="R63" s="52"/>
      <c r="S63" s="21"/>
      <c r="T63" s="213"/>
      <c r="U63" s="217"/>
      <c r="V63" s="218"/>
      <c r="W63" s="224"/>
      <c r="AA63" s="31"/>
      <c r="AB63" s="31"/>
    </row>
    <row r="64" spans="1:28" ht="12.75">
      <c r="A64" s="269"/>
      <c r="B64" s="613">
        <v>30</v>
      </c>
      <c r="C64" s="684" t="s">
        <v>114</v>
      </c>
      <c r="D64" s="685" t="s">
        <v>247</v>
      </c>
      <c r="E64" s="686">
        <v>6.099612602641319</v>
      </c>
      <c r="F64" s="687">
        <v>7516000</v>
      </c>
      <c r="G64" s="686">
        <v>45844688.32145215</v>
      </c>
      <c r="H64" s="683">
        <f t="shared" si="1"/>
        <v>5.8065259322601906E-05</v>
      </c>
      <c r="Q64" s="204"/>
      <c r="R64" s="52"/>
      <c r="S64" s="21"/>
      <c r="T64" s="213"/>
      <c r="U64" s="217"/>
      <c r="V64" s="218"/>
      <c r="W64" s="224"/>
      <c r="AA64" s="31"/>
      <c r="AB64" s="31"/>
    </row>
    <row r="65" spans="1:28" ht="12.75">
      <c r="A65" s="269"/>
      <c r="B65" s="613"/>
      <c r="C65" s="684" t="s">
        <v>43</v>
      </c>
      <c r="D65" s="685" t="s">
        <v>247</v>
      </c>
      <c r="E65" s="686">
        <v>56.776001957041515</v>
      </c>
      <c r="F65" s="687">
        <v>10034000</v>
      </c>
      <c r="G65" s="686">
        <v>569690403.6369545</v>
      </c>
      <c r="H65" s="683">
        <f t="shared" si="1"/>
        <v>0.0007215496981642413</v>
      </c>
      <c r="Q65" s="204"/>
      <c r="R65" s="52"/>
      <c r="S65" s="21"/>
      <c r="T65" s="213"/>
      <c r="U65" s="217"/>
      <c r="V65" s="218"/>
      <c r="W65" s="224"/>
      <c r="AA65" s="31"/>
      <c r="AB65" s="31"/>
    </row>
    <row r="66" spans="1:28" ht="12.75">
      <c r="A66" s="269"/>
      <c r="B66" s="613">
        <v>25</v>
      </c>
      <c r="C66" s="684" t="s">
        <v>118</v>
      </c>
      <c r="D66" s="688" t="s">
        <v>248</v>
      </c>
      <c r="E66" s="686">
        <v>0</v>
      </c>
      <c r="F66" s="687">
        <v>1124135000</v>
      </c>
      <c r="G66" s="686">
        <v>0</v>
      </c>
      <c r="H66" s="683">
        <f t="shared" si="1"/>
        <v>0</v>
      </c>
      <c r="Q66" s="204"/>
      <c r="R66" s="52"/>
      <c r="S66" s="21"/>
      <c r="T66" s="213"/>
      <c r="U66" s="217"/>
      <c r="V66" s="218"/>
      <c r="W66" s="224"/>
      <c r="AA66" s="31"/>
      <c r="AB66" s="31"/>
    </row>
    <row r="67" spans="1:28" ht="12.75">
      <c r="A67" s="269"/>
      <c r="B67" s="613">
        <v>89</v>
      </c>
      <c r="C67" s="684" t="s">
        <v>128</v>
      </c>
      <c r="D67" s="685" t="s">
        <v>247</v>
      </c>
      <c r="E67" s="686">
        <v>6.157956475568637</v>
      </c>
      <c r="F67" s="687">
        <v>234694000</v>
      </c>
      <c r="G67" s="686">
        <v>1445235437.0771058</v>
      </c>
      <c r="H67" s="683">
        <f t="shared" si="1"/>
        <v>0.001830484043160748</v>
      </c>
      <c r="Q67" s="204"/>
      <c r="R67" s="52"/>
      <c r="S67" s="21"/>
      <c r="T67" s="213"/>
      <c r="U67" s="217"/>
      <c r="V67" s="218"/>
      <c r="W67" s="224"/>
      <c r="AA67" s="31"/>
      <c r="AB67" s="31"/>
    </row>
    <row r="68" spans="1:28" ht="12.75">
      <c r="A68" s="269"/>
      <c r="B68" s="613"/>
      <c r="C68" s="684" t="s">
        <v>4</v>
      </c>
      <c r="D68" s="685" t="s">
        <v>247</v>
      </c>
      <c r="E68" s="686">
        <v>99.32753367338788</v>
      </c>
      <c r="F68" s="687">
        <v>74093000</v>
      </c>
      <c r="G68" s="686">
        <v>7359474952.462328</v>
      </c>
      <c r="H68" s="683">
        <f t="shared" si="1"/>
        <v>0.009321250448832422</v>
      </c>
      <c r="Q68" s="204"/>
      <c r="R68" s="52"/>
      <c r="S68" s="21"/>
      <c r="T68" s="213"/>
      <c r="U68" s="217"/>
      <c r="V68" s="218"/>
      <c r="W68" s="224"/>
      <c r="AA68" s="31"/>
      <c r="AB68" s="31"/>
    </row>
    <row r="69" spans="1:28" ht="12.75">
      <c r="A69" s="269"/>
      <c r="B69" s="613"/>
      <c r="C69" s="684" t="s">
        <v>143</v>
      </c>
      <c r="D69" s="685" t="s">
        <v>247</v>
      </c>
      <c r="E69" s="686">
        <v>3.6723903852288435</v>
      </c>
      <c r="F69" s="687">
        <v>27500000</v>
      </c>
      <c r="G69" s="686">
        <v>100990735.5937932</v>
      </c>
      <c r="H69" s="683">
        <f t="shared" si="1"/>
        <v>0.00012791129062360648</v>
      </c>
      <c r="Q69" s="204"/>
      <c r="R69" s="52"/>
      <c r="S69" s="21"/>
      <c r="T69" s="213"/>
      <c r="U69" s="217"/>
      <c r="V69" s="218"/>
      <c r="W69" s="224"/>
      <c r="AA69" s="31"/>
      <c r="AB69" s="31"/>
    </row>
    <row r="70" spans="1:28" ht="12.75">
      <c r="A70" s="269"/>
      <c r="B70" s="613">
        <v>80</v>
      </c>
      <c r="C70" s="684" t="s">
        <v>53</v>
      </c>
      <c r="D70" s="680" t="s">
        <v>246</v>
      </c>
      <c r="E70" s="686">
        <v>774.9934492456094</v>
      </c>
      <c r="F70" s="687">
        <v>4420000</v>
      </c>
      <c r="G70" s="686">
        <v>3425471045.6655936</v>
      </c>
      <c r="H70" s="683">
        <f t="shared" si="1"/>
        <v>0.004338580364512264</v>
      </c>
      <c r="Q70" s="204"/>
      <c r="R70" s="52"/>
      <c r="S70" s="21"/>
      <c r="T70" s="213"/>
      <c r="U70" s="217"/>
      <c r="V70" s="218"/>
      <c r="W70" s="224"/>
      <c r="AA70" s="31"/>
      <c r="AB70" s="31"/>
    </row>
    <row r="71" spans="1:28" ht="12.75">
      <c r="A71" s="269"/>
      <c r="B71" s="613"/>
      <c r="C71" s="684" t="s">
        <v>5</v>
      </c>
      <c r="D71" s="680" t="s">
        <v>246</v>
      </c>
      <c r="E71" s="686">
        <v>430.3943128414592</v>
      </c>
      <c r="F71" s="687">
        <v>6990000</v>
      </c>
      <c r="G71" s="686">
        <v>3008456246.7618</v>
      </c>
      <c r="H71" s="683">
        <f t="shared" si="1"/>
        <v>0.003810404182575371</v>
      </c>
      <c r="Q71" s="204"/>
      <c r="R71" s="52"/>
      <c r="S71" s="21"/>
      <c r="T71" s="213"/>
      <c r="U71" s="217"/>
      <c r="V71" s="218"/>
      <c r="W71" s="224"/>
      <c r="AA71" s="31"/>
      <c r="AB71" s="31"/>
    </row>
    <row r="72" spans="1:28" ht="12.75">
      <c r="A72" s="269"/>
      <c r="B72" s="613">
        <v>86</v>
      </c>
      <c r="C72" s="684" t="s">
        <v>31</v>
      </c>
      <c r="D72" s="680" t="s">
        <v>246</v>
      </c>
      <c r="E72" s="686">
        <v>246.33415439737374</v>
      </c>
      <c r="F72" s="687">
        <v>58178000</v>
      </c>
      <c r="G72" s="686">
        <v>14331228434.530409</v>
      </c>
      <c r="H72" s="683">
        <f t="shared" si="1"/>
        <v>0.018151426608632153</v>
      </c>
      <c r="Q72" s="204"/>
      <c r="R72" s="52"/>
      <c r="S72" s="21"/>
      <c r="T72" s="213"/>
      <c r="U72" s="217"/>
      <c r="V72" s="218"/>
      <c r="W72" s="224"/>
      <c r="AA72" s="31"/>
      <c r="AB72" s="31"/>
    </row>
    <row r="73" spans="1:28" ht="12.75">
      <c r="A73" s="269"/>
      <c r="B73" s="613">
        <v>62</v>
      </c>
      <c r="C73" s="684" t="s">
        <v>90</v>
      </c>
      <c r="D73" s="685" t="s">
        <v>247</v>
      </c>
      <c r="E73" s="686">
        <v>32.35449855094721</v>
      </c>
      <c r="F73" s="687">
        <v>2782000</v>
      </c>
      <c r="G73" s="686">
        <v>90010214.96873514</v>
      </c>
      <c r="H73" s="683">
        <f aca="true" t="shared" si="2" ref="H73:H104">G73/789537304341.412</f>
        <v>0.00011400375191114832</v>
      </c>
      <c r="Q73" s="204"/>
      <c r="R73" s="52"/>
      <c r="S73" s="21"/>
      <c r="T73" s="213"/>
      <c r="U73" s="217"/>
      <c r="V73" s="218"/>
      <c r="W73" s="224"/>
      <c r="AA73" s="31"/>
      <c r="AB73" s="31"/>
    </row>
    <row r="74" spans="1:28" ht="12.75">
      <c r="A74" s="269"/>
      <c r="B74" s="613">
        <v>18</v>
      </c>
      <c r="C74" s="684" t="s">
        <v>6</v>
      </c>
      <c r="D74" s="680" t="s">
        <v>246</v>
      </c>
      <c r="E74" s="686">
        <v>454.3281161857558</v>
      </c>
      <c r="F74" s="687">
        <v>127433000</v>
      </c>
      <c r="G74" s="686">
        <v>57896394829.899414</v>
      </c>
      <c r="H74" s="683">
        <f t="shared" si="2"/>
        <v>0.07332952415490153</v>
      </c>
      <c r="Q74" s="204"/>
      <c r="R74" s="52"/>
      <c r="S74" s="21"/>
      <c r="T74" s="213"/>
      <c r="U74" s="217"/>
      <c r="V74" s="218"/>
      <c r="W74" s="224"/>
      <c r="AA74" s="31"/>
      <c r="AB74" s="31"/>
    </row>
    <row r="75" spans="1:28" ht="12.75">
      <c r="A75" s="269"/>
      <c r="B75" s="613"/>
      <c r="C75" s="684" t="s">
        <v>98</v>
      </c>
      <c r="D75" s="685" t="s">
        <v>247</v>
      </c>
      <c r="E75" s="686">
        <v>14.977515350023536</v>
      </c>
      <c r="F75" s="687">
        <v>5997000</v>
      </c>
      <c r="G75" s="686">
        <v>89820159.55409114</v>
      </c>
      <c r="H75" s="683">
        <f t="shared" si="2"/>
        <v>0.00011376303445093593</v>
      </c>
      <c r="Q75" s="204"/>
      <c r="R75" s="52"/>
      <c r="S75" s="21"/>
      <c r="T75" s="213"/>
      <c r="U75" s="217"/>
      <c r="V75" s="218"/>
      <c r="W75" s="224"/>
      <c r="AA75" s="31"/>
      <c r="AB75" s="31"/>
    </row>
    <row r="76" spans="1:28" ht="12.75">
      <c r="A76" s="269"/>
      <c r="B76" s="613">
        <v>85</v>
      </c>
      <c r="C76" s="684" t="s">
        <v>93</v>
      </c>
      <c r="D76" s="685" t="s">
        <v>247</v>
      </c>
      <c r="E76" s="686">
        <v>89.557510087084</v>
      </c>
      <c r="F76" s="687">
        <v>15285000</v>
      </c>
      <c r="G76" s="686">
        <v>1368886541.681079</v>
      </c>
      <c r="H76" s="683">
        <f t="shared" si="2"/>
        <v>0.001733783235008671</v>
      </c>
      <c r="Q76" s="204"/>
      <c r="R76" s="52"/>
      <c r="S76" s="21"/>
      <c r="T76" s="213"/>
      <c r="U76" s="217"/>
      <c r="V76" s="218"/>
      <c r="W76" s="224"/>
      <c r="AA76" s="31"/>
      <c r="AB76" s="31"/>
    </row>
    <row r="77" spans="1:28" ht="12.75">
      <c r="A77" s="269"/>
      <c r="B77" s="613">
        <v>43</v>
      </c>
      <c r="C77" s="684" t="s">
        <v>107</v>
      </c>
      <c r="D77" s="688" t="s">
        <v>248</v>
      </c>
      <c r="E77" s="686">
        <v>0</v>
      </c>
      <c r="F77" s="687">
        <v>36914000</v>
      </c>
      <c r="G77" s="686">
        <v>0</v>
      </c>
      <c r="H77" s="683">
        <f t="shared" si="2"/>
        <v>0</v>
      </c>
      <c r="Q77" s="204"/>
      <c r="R77" s="52"/>
      <c r="S77" s="21"/>
      <c r="T77" s="213"/>
      <c r="U77" s="217"/>
      <c r="V77" s="218"/>
      <c r="W77" s="224"/>
      <c r="AA77" s="31"/>
      <c r="AB77" s="31"/>
    </row>
    <row r="78" spans="1:28" ht="12.75">
      <c r="A78" s="269"/>
      <c r="B78" s="614">
        <v>88</v>
      </c>
      <c r="C78" s="692" t="s">
        <v>7</v>
      </c>
      <c r="D78" s="689" t="s">
        <v>275</v>
      </c>
      <c r="E78" s="681">
        <v>2501.04100389986</v>
      </c>
      <c r="F78" s="682">
        <v>2507000</v>
      </c>
      <c r="G78" s="681">
        <v>6270109796.776949</v>
      </c>
      <c r="H78" s="683">
        <f t="shared" si="2"/>
        <v>0.007941499106248216</v>
      </c>
      <c r="Q78" s="204"/>
      <c r="R78" s="52"/>
      <c r="S78" s="21"/>
      <c r="T78" s="213"/>
      <c r="U78" s="217"/>
      <c r="V78" s="218"/>
      <c r="W78" s="224"/>
      <c r="AA78" s="31"/>
      <c r="AB78" s="31"/>
    </row>
    <row r="79" spans="1:28" ht="12.75">
      <c r="A79" s="269"/>
      <c r="B79" s="613">
        <v>14</v>
      </c>
      <c r="C79" s="684" t="s">
        <v>82</v>
      </c>
      <c r="D79" s="688" t="s">
        <v>248</v>
      </c>
      <c r="E79" s="686">
        <v>0</v>
      </c>
      <c r="F79" s="687">
        <v>5284000</v>
      </c>
      <c r="G79" s="686">
        <v>0</v>
      </c>
      <c r="H79" s="683">
        <f t="shared" si="2"/>
        <v>0</v>
      </c>
      <c r="Q79" s="204"/>
      <c r="R79" s="52"/>
      <c r="S79" s="21"/>
      <c r="T79" s="213"/>
      <c r="U79" s="217"/>
      <c r="V79" s="218"/>
      <c r="W79" s="224"/>
      <c r="AA79" s="31"/>
      <c r="AB79" s="31"/>
    </row>
    <row r="80" spans="1:28" ht="12.75">
      <c r="A80" s="269"/>
      <c r="B80" s="613">
        <v>26</v>
      </c>
      <c r="C80" s="684" t="s">
        <v>83</v>
      </c>
      <c r="D80" s="688" t="s">
        <v>248</v>
      </c>
      <c r="E80" s="686">
        <v>0</v>
      </c>
      <c r="F80" s="687">
        <v>6035000</v>
      </c>
      <c r="G80" s="686">
        <v>0</v>
      </c>
      <c r="H80" s="683">
        <f t="shared" si="2"/>
        <v>0</v>
      </c>
      <c r="Q80" s="204"/>
      <c r="R80" s="52"/>
      <c r="S80" s="21"/>
      <c r="T80" s="213"/>
      <c r="U80" s="217"/>
      <c r="V80" s="218"/>
      <c r="W80" s="224"/>
      <c r="AA80" s="31"/>
      <c r="AB80" s="31"/>
    </row>
    <row r="81" spans="1:28" ht="12.75">
      <c r="A81" s="269"/>
      <c r="B81" s="613">
        <v>34</v>
      </c>
      <c r="C81" s="684" t="s">
        <v>33</v>
      </c>
      <c r="D81" s="688" t="s">
        <v>248</v>
      </c>
      <c r="E81" s="686">
        <v>0</v>
      </c>
      <c r="F81" s="687">
        <v>2260000</v>
      </c>
      <c r="G81" s="686">
        <v>0</v>
      </c>
      <c r="H81" s="683">
        <f t="shared" si="2"/>
        <v>0</v>
      </c>
      <c r="Q81" s="204"/>
      <c r="R81" s="52"/>
      <c r="S81" s="21"/>
      <c r="T81" s="213"/>
      <c r="U81" s="217"/>
      <c r="V81" s="218"/>
      <c r="W81" s="224"/>
      <c r="AA81" s="31"/>
      <c r="AB81" s="31"/>
    </row>
    <row r="82" spans="1:28" ht="12.75">
      <c r="A82" s="269"/>
      <c r="B82" s="613">
        <v>65</v>
      </c>
      <c r="C82" s="684" t="s">
        <v>91</v>
      </c>
      <c r="D82" s="685" t="s">
        <v>247</v>
      </c>
      <c r="E82" s="686">
        <v>75.1592182314737</v>
      </c>
      <c r="F82" s="687">
        <v>3896000</v>
      </c>
      <c r="G82" s="686">
        <v>292820314.22982156</v>
      </c>
      <c r="H82" s="683">
        <f t="shared" si="2"/>
        <v>0.0003708758441427615</v>
      </c>
      <c r="Q82" s="204"/>
      <c r="R82" s="52"/>
      <c r="S82" s="21"/>
      <c r="T82" s="213"/>
      <c r="U82" s="217"/>
      <c r="V82" s="218"/>
      <c r="W82" s="224"/>
      <c r="AA82" s="31"/>
      <c r="AB82" s="31"/>
    </row>
    <row r="83" spans="1:28" ht="12.75">
      <c r="A83" s="269"/>
      <c r="B83" s="613">
        <v>22</v>
      </c>
      <c r="C83" s="684" t="s">
        <v>184</v>
      </c>
      <c r="D83" s="688" t="s">
        <v>248</v>
      </c>
      <c r="E83" s="686">
        <v>0</v>
      </c>
      <c r="F83" s="687">
        <v>3270000</v>
      </c>
      <c r="G83" s="686">
        <v>0</v>
      </c>
      <c r="H83" s="683">
        <f t="shared" si="2"/>
        <v>0</v>
      </c>
      <c r="Q83" s="204"/>
      <c r="R83" s="52"/>
      <c r="S83" s="21"/>
      <c r="T83" s="213"/>
      <c r="U83" s="217"/>
      <c r="V83" s="218"/>
      <c r="W83" s="224"/>
      <c r="AA83" s="31"/>
      <c r="AB83" s="31"/>
    </row>
    <row r="84" spans="1:28" ht="12.75">
      <c r="A84" s="269"/>
      <c r="B84" s="613">
        <v>74</v>
      </c>
      <c r="C84" s="684" t="s">
        <v>268</v>
      </c>
      <c r="D84" s="680" t="s">
        <v>246</v>
      </c>
      <c r="E84" s="686">
        <v>119.75313090948572</v>
      </c>
      <c r="F84" s="687">
        <v>6050000</v>
      </c>
      <c r="G84" s="686">
        <v>724506442.0023886</v>
      </c>
      <c r="H84" s="683">
        <f t="shared" si="2"/>
        <v>0.0009176342118587182</v>
      </c>
      <c r="Q84" s="204"/>
      <c r="R84" s="52"/>
      <c r="S84" s="21"/>
      <c r="T84" s="213"/>
      <c r="U84" s="217"/>
      <c r="V84" s="218"/>
      <c r="W84" s="224"/>
      <c r="AA84" s="31"/>
      <c r="AB84" s="31"/>
    </row>
    <row r="85" spans="1:28" ht="12.75">
      <c r="A85" s="269"/>
      <c r="B85" s="613">
        <v>44</v>
      </c>
      <c r="C85" s="684" t="s">
        <v>47</v>
      </c>
      <c r="D85" s="688" t="s">
        <v>248</v>
      </c>
      <c r="E85" s="686">
        <v>0</v>
      </c>
      <c r="F85" s="687">
        <v>3575000</v>
      </c>
      <c r="G85" s="686">
        <v>0</v>
      </c>
      <c r="H85" s="683">
        <f t="shared" si="2"/>
        <v>0</v>
      </c>
      <c r="Q85" s="204"/>
      <c r="R85" s="52"/>
      <c r="S85" s="21"/>
      <c r="T85" s="213"/>
      <c r="U85" s="217"/>
      <c r="V85" s="218"/>
      <c r="W85" s="224"/>
      <c r="AA85" s="31"/>
      <c r="AB85" s="31"/>
    </row>
    <row r="86" spans="1:28" ht="12.75">
      <c r="A86" s="269"/>
      <c r="B86" s="613"/>
      <c r="C86" s="684" t="s">
        <v>77</v>
      </c>
      <c r="D86" s="688" t="s">
        <v>248</v>
      </c>
      <c r="E86" s="686">
        <v>0</v>
      </c>
      <c r="F86" s="687">
        <v>2056000</v>
      </c>
      <c r="G86" s="686">
        <v>0</v>
      </c>
      <c r="H86" s="683">
        <f t="shared" si="2"/>
        <v>0</v>
      </c>
      <c r="Q86" s="204"/>
      <c r="R86" s="52"/>
      <c r="S86" s="21"/>
      <c r="T86" s="213"/>
      <c r="U86" s="217"/>
      <c r="V86" s="218"/>
      <c r="W86" s="224"/>
      <c r="AA86" s="31"/>
      <c r="AB86" s="31"/>
    </row>
    <row r="87" spans="1:28" ht="12.75">
      <c r="A87" s="269"/>
      <c r="B87" s="613">
        <v>2</v>
      </c>
      <c r="C87" s="693" t="s">
        <v>116</v>
      </c>
      <c r="D87" s="688" t="s">
        <v>248</v>
      </c>
      <c r="E87" s="686">
        <v>0</v>
      </c>
      <c r="F87" s="687">
        <v>19449000</v>
      </c>
      <c r="G87" s="686">
        <v>0</v>
      </c>
      <c r="H87" s="683">
        <f t="shared" si="2"/>
        <v>0</v>
      </c>
      <c r="Q87" s="204"/>
      <c r="R87" s="52"/>
      <c r="S87" s="21"/>
      <c r="T87" s="213"/>
      <c r="U87" s="217"/>
      <c r="V87" s="218"/>
      <c r="W87" s="224"/>
      <c r="AA87" s="31"/>
      <c r="AB87" s="31"/>
    </row>
    <row r="88" spans="1:28" ht="12.75">
      <c r="A88" s="269"/>
      <c r="B88" s="613"/>
      <c r="C88" s="684" t="s">
        <v>106</v>
      </c>
      <c r="D88" s="688" t="s">
        <v>248</v>
      </c>
      <c r="E88" s="686">
        <v>0</v>
      </c>
      <c r="F88" s="687">
        <v>14233000</v>
      </c>
      <c r="G88" s="686">
        <v>0</v>
      </c>
      <c r="H88" s="683">
        <f t="shared" si="2"/>
        <v>0</v>
      </c>
      <c r="Q88" s="204"/>
      <c r="R88" s="52"/>
      <c r="S88" s="21"/>
      <c r="T88" s="213"/>
      <c r="U88" s="217"/>
      <c r="V88" s="218"/>
      <c r="W88" s="224"/>
      <c r="AA88" s="31"/>
      <c r="AB88" s="31"/>
    </row>
    <row r="89" spans="1:28" ht="12.75">
      <c r="A89" s="269"/>
      <c r="B89" s="613"/>
      <c r="C89" s="684" t="s">
        <v>9</v>
      </c>
      <c r="D89" s="680" t="s">
        <v>246</v>
      </c>
      <c r="E89" s="686">
        <v>140.74364085063132</v>
      </c>
      <c r="F89" s="687">
        <v>26896000</v>
      </c>
      <c r="G89" s="686">
        <v>3785440964.31858</v>
      </c>
      <c r="H89" s="683">
        <f t="shared" si="2"/>
        <v>0.004794505520516455</v>
      </c>
      <c r="Q89" s="204"/>
      <c r="R89" s="52"/>
      <c r="S89" s="21"/>
      <c r="T89" s="213"/>
      <c r="U89" s="217"/>
      <c r="V89" s="218"/>
      <c r="W89" s="224"/>
      <c r="AA89" s="31"/>
      <c r="AB89" s="31"/>
    </row>
    <row r="90" spans="1:28" ht="12.75">
      <c r="A90" s="269"/>
      <c r="B90" s="613"/>
      <c r="C90" s="684" t="s">
        <v>149</v>
      </c>
      <c r="D90" s="688" t="s">
        <v>248</v>
      </c>
      <c r="E90" s="686">
        <v>0</v>
      </c>
      <c r="F90" s="687">
        <v>12769000</v>
      </c>
      <c r="G90" s="686">
        <v>0</v>
      </c>
      <c r="H90" s="683">
        <f t="shared" si="2"/>
        <v>0</v>
      </c>
      <c r="Q90" s="204"/>
      <c r="R90" s="52"/>
      <c r="S90" s="21"/>
      <c r="T90" s="213"/>
      <c r="U90" s="217"/>
      <c r="V90" s="218"/>
      <c r="W90" s="224"/>
      <c r="AA90" s="31"/>
      <c r="AB90" s="31"/>
    </row>
    <row r="91" spans="1:28" ht="12.75">
      <c r="A91" s="269"/>
      <c r="B91" s="613">
        <v>52</v>
      </c>
      <c r="C91" s="684" t="s">
        <v>153</v>
      </c>
      <c r="D91" s="688" t="s">
        <v>248</v>
      </c>
      <c r="E91" s="686">
        <v>0</v>
      </c>
      <c r="F91" s="687">
        <v>2981000</v>
      </c>
      <c r="G91" s="686">
        <v>0</v>
      </c>
      <c r="H91" s="683">
        <f t="shared" si="2"/>
        <v>0</v>
      </c>
      <c r="Q91" s="204"/>
      <c r="R91" s="52"/>
      <c r="S91" s="21"/>
      <c r="T91" s="213"/>
      <c r="U91" s="217"/>
      <c r="V91" s="218"/>
      <c r="W91" s="224"/>
      <c r="AA91" s="31"/>
      <c r="AB91" s="31"/>
    </row>
    <row r="92" spans="1:28" ht="12.75">
      <c r="A92" s="269"/>
      <c r="B92" s="613"/>
      <c r="C92" s="684" t="s">
        <v>21</v>
      </c>
      <c r="D92" s="685" t="s">
        <v>247</v>
      </c>
      <c r="E92" s="686">
        <v>78.64467964445748</v>
      </c>
      <c r="F92" s="687">
        <v>1264000</v>
      </c>
      <c r="G92" s="686">
        <v>99406875.07059425</v>
      </c>
      <c r="H92" s="683">
        <f t="shared" si="2"/>
        <v>0.0001259052289537021</v>
      </c>
      <c r="R92" s="52"/>
      <c r="S92" s="21"/>
      <c r="T92" s="213"/>
      <c r="U92" s="217"/>
      <c r="V92" s="218"/>
      <c r="W92" s="224"/>
      <c r="AA92" s="31"/>
      <c r="AB92" s="31"/>
    </row>
    <row r="93" spans="1:28" ht="12.75">
      <c r="A93" s="269"/>
      <c r="B93" s="613">
        <v>36</v>
      </c>
      <c r="C93" s="684" t="s">
        <v>52</v>
      </c>
      <c r="D93" s="685" t="s">
        <v>247</v>
      </c>
      <c r="E93" s="686">
        <v>48.513505133961786</v>
      </c>
      <c r="F93" s="687">
        <v>108701000</v>
      </c>
      <c r="G93" s="686">
        <v>5273466521.56678</v>
      </c>
      <c r="H93" s="683">
        <f t="shared" si="2"/>
        <v>0.006679186015112499</v>
      </c>
      <c r="Q93" s="204"/>
      <c r="R93" s="52"/>
      <c r="S93" s="21"/>
      <c r="T93" s="213"/>
      <c r="U93" s="217"/>
      <c r="V93" s="218"/>
      <c r="W93" s="224"/>
      <c r="AA93" s="31"/>
      <c r="AB93" s="31"/>
    </row>
    <row r="94" spans="1:28" ht="12.75">
      <c r="A94" s="269"/>
      <c r="B94" s="613">
        <v>71</v>
      </c>
      <c r="C94" s="684" t="s">
        <v>88</v>
      </c>
      <c r="D94" s="688" t="s">
        <v>248</v>
      </c>
      <c r="E94" s="686">
        <v>0</v>
      </c>
      <c r="F94" s="687">
        <v>4329000</v>
      </c>
      <c r="G94" s="686">
        <v>0</v>
      </c>
      <c r="H94" s="683">
        <f t="shared" si="2"/>
        <v>0</v>
      </c>
      <c r="Q94" s="204"/>
      <c r="R94" s="52"/>
      <c r="S94" s="21"/>
      <c r="T94" s="213"/>
      <c r="U94" s="217"/>
      <c r="V94" s="218"/>
      <c r="W94" s="224"/>
      <c r="AA94" s="31"/>
      <c r="AB94" s="31"/>
    </row>
    <row r="95" spans="1:28" ht="12.75">
      <c r="A95" s="269"/>
      <c r="B95" s="613">
        <v>7</v>
      </c>
      <c r="C95" s="693" t="s">
        <v>136</v>
      </c>
      <c r="D95" s="688" t="s">
        <v>248</v>
      </c>
      <c r="E95" s="686">
        <v>0</v>
      </c>
      <c r="F95" s="687">
        <v>2952000</v>
      </c>
      <c r="G95" s="686">
        <v>0</v>
      </c>
      <c r="H95" s="683">
        <f t="shared" si="2"/>
        <v>0</v>
      </c>
      <c r="Q95" s="204"/>
      <c r="R95" s="52"/>
      <c r="S95" s="21"/>
      <c r="T95" s="213"/>
      <c r="U95" s="217"/>
      <c r="V95" s="218"/>
      <c r="W95" s="224"/>
      <c r="AA95" s="31"/>
      <c r="AB95" s="31"/>
    </row>
    <row r="96" spans="1:28" ht="12.75">
      <c r="A96" s="269"/>
      <c r="B96" s="613"/>
      <c r="C96" s="684" t="s">
        <v>60</v>
      </c>
      <c r="D96" s="688" t="s">
        <v>248</v>
      </c>
      <c r="E96" s="686">
        <v>0</v>
      </c>
      <c r="F96" s="687">
        <v>30594000</v>
      </c>
      <c r="G96" s="686">
        <v>0</v>
      </c>
      <c r="H96" s="683">
        <f t="shared" si="2"/>
        <v>0</v>
      </c>
      <c r="Q96" s="204"/>
      <c r="R96" s="52"/>
      <c r="S96" s="21"/>
      <c r="T96" s="213"/>
      <c r="U96" s="217"/>
      <c r="V96" s="218"/>
      <c r="W96" s="224"/>
      <c r="AA96" s="31"/>
      <c r="AB96" s="31"/>
    </row>
    <row r="97" spans="1:28" ht="12.75">
      <c r="A97" s="269"/>
      <c r="B97" s="613"/>
      <c r="C97" s="684" t="s">
        <v>110</v>
      </c>
      <c r="D97" s="688" t="s">
        <v>248</v>
      </c>
      <c r="E97" s="686">
        <v>0</v>
      </c>
      <c r="F97" s="687">
        <v>20906000</v>
      </c>
      <c r="G97" s="686">
        <v>0</v>
      </c>
      <c r="H97" s="683">
        <f t="shared" si="2"/>
        <v>0</v>
      </c>
      <c r="Q97" s="204"/>
      <c r="R97" s="52"/>
      <c r="S97" s="21"/>
      <c r="T97" s="213"/>
      <c r="U97" s="217"/>
      <c r="V97" s="218"/>
      <c r="W97" s="224"/>
      <c r="AA97" s="31"/>
      <c r="AB97" s="31"/>
    </row>
    <row r="98" spans="1:28" ht="12.75">
      <c r="A98" s="269"/>
      <c r="B98" s="613"/>
      <c r="C98" s="684" t="s">
        <v>270</v>
      </c>
      <c r="D98" s="688" t="s">
        <v>248</v>
      </c>
      <c r="E98" s="686">
        <v>0</v>
      </c>
      <c r="F98" s="687">
        <v>51756000</v>
      </c>
      <c r="G98" s="686">
        <v>0</v>
      </c>
      <c r="H98" s="683">
        <f t="shared" si="2"/>
        <v>0</v>
      </c>
      <c r="Q98" s="204"/>
      <c r="R98" s="52"/>
      <c r="S98" s="21"/>
      <c r="T98" s="213"/>
      <c r="U98" s="217"/>
      <c r="V98" s="218"/>
      <c r="W98" s="224"/>
      <c r="AA98" s="31"/>
      <c r="AB98" s="31"/>
    </row>
    <row r="99" spans="1:28" ht="12.75">
      <c r="A99" s="269"/>
      <c r="B99" s="613">
        <v>37</v>
      </c>
      <c r="C99" s="684" t="s">
        <v>84</v>
      </c>
      <c r="D99" s="685" t="s">
        <v>247</v>
      </c>
      <c r="E99" s="686">
        <v>3.8787807611176177</v>
      </c>
      <c r="F99" s="687">
        <v>2069000</v>
      </c>
      <c r="G99" s="686">
        <v>8025197.394752351</v>
      </c>
      <c r="H99" s="683">
        <f t="shared" si="2"/>
        <v>1.0164430927613386E-05</v>
      </c>
      <c r="Q99" s="204"/>
      <c r="R99" s="52"/>
      <c r="S99" s="21"/>
      <c r="T99" s="213"/>
      <c r="U99" s="217"/>
      <c r="V99" s="218"/>
      <c r="W99" s="224"/>
      <c r="AA99" s="31"/>
      <c r="AB99" s="31"/>
    </row>
    <row r="100" spans="1:28" ht="12.75">
      <c r="A100" s="269"/>
      <c r="B100" s="613">
        <v>63</v>
      </c>
      <c r="C100" s="684" t="s">
        <v>48</v>
      </c>
      <c r="D100" s="688" t="s">
        <v>248</v>
      </c>
      <c r="E100" s="686">
        <v>0</v>
      </c>
      <c r="F100" s="687">
        <v>27828000</v>
      </c>
      <c r="G100" s="686">
        <v>0</v>
      </c>
      <c r="H100" s="683">
        <f t="shared" si="2"/>
        <v>0</v>
      </c>
      <c r="Q100" s="204"/>
      <c r="R100" s="52"/>
      <c r="S100" s="21"/>
      <c r="T100" s="213"/>
      <c r="U100" s="217"/>
      <c r="V100" s="218"/>
      <c r="W100" s="224"/>
      <c r="AA100" s="31"/>
      <c r="AB100" s="31"/>
    </row>
    <row r="101" spans="1:28" ht="12.75">
      <c r="A101" s="269"/>
      <c r="B101" s="614"/>
      <c r="C101" s="684" t="s">
        <v>55</v>
      </c>
      <c r="D101" s="680" t="s">
        <v>246</v>
      </c>
      <c r="E101" s="686">
        <v>917.8351063817204</v>
      </c>
      <c r="F101" s="687">
        <v>16571000</v>
      </c>
      <c r="G101" s="686">
        <v>15209445547.851488</v>
      </c>
      <c r="H101" s="683">
        <f t="shared" si="2"/>
        <v>0.01926374531541402</v>
      </c>
      <c r="Q101" s="204"/>
      <c r="R101" s="6"/>
      <c r="S101" s="21"/>
      <c r="T101" s="213"/>
      <c r="U101" s="217"/>
      <c r="V101" s="218"/>
      <c r="W101" s="224"/>
      <c r="AA101" s="31"/>
      <c r="AB101" s="31"/>
    </row>
    <row r="102" spans="1:28" ht="12.75">
      <c r="A102" s="269"/>
      <c r="B102" s="614">
        <v>41</v>
      </c>
      <c r="C102" s="684" t="s">
        <v>10</v>
      </c>
      <c r="D102" s="680" t="s">
        <v>246</v>
      </c>
      <c r="E102" s="686">
        <v>430.46081230884874</v>
      </c>
      <c r="F102" s="687">
        <v>4130000</v>
      </c>
      <c r="G102" s="686">
        <v>1777803154.8355453</v>
      </c>
      <c r="H102" s="683">
        <f t="shared" si="2"/>
        <v>0.0022517025415518394</v>
      </c>
      <c r="Q102" s="204"/>
      <c r="R102" s="52"/>
      <c r="S102" s="21"/>
      <c r="T102" s="213"/>
      <c r="U102" s="217"/>
      <c r="V102" s="218"/>
      <c r="W102" s="224"/>
      <c r="AA102" s="31"/>
      <c r="AB102" s="31"/>
    </row>
    <row r="103" spans="1:28" ht="12.75">
      <c r="A103" s="269"/>
      <c r="B103" s="613"/>
      <c r="C103" s="684" t="s">
        <v>94</v>
      </c>
      <c r="D103" s="688" t="s">
        <v>248</v>
      </c>
      <c r="E103" s="686">
        <v>0</v>
      </c>
      <c r="F103" s="687">
        <v>5680000</v>
      </c>
      <c r="G103" s="686">
        <v>0</v>
      </c>
      <c r="H103" s="683">
        <f t="shared" si="2"/>
        <v>0</v>
      </c>
      <c r="Q103" s="204"/>
      <c r="R103" s="52"/>
      <c r="S103" s="21"/>
      <c r="T103" s="213"/>
      <c r="U103" s="217"/>
      <c r="V103" s="218"/>
      <c r="W103" s="224"/>
      <c r="AA103" s="31"/>
      <c r="AB103" s="31"/>
    </row>
    <row r="104" spans="1:28" ht="12.75">
      <c r="A104" s="269"/>
      <c r="B104" s="614">
        <v>50</v>
      </c>
      <c r="C104" s="684" t="s">
        <v>150</v>
      </c>
      <c r="D104" s="688" t="s">
        <v>248</v>
      </c>
      <c r="E104" s="686">
        <v>0</v>
      </c>
      <c r="F104" s="687">
        <v>14215000</v>
      </c>
      <c r="G104" s="686">
        <v>0</v>
      </c>
      <c r="H104" s="683">
        <f t="shared" si="2"/>
        <v>0</v>
      </c>
      <c r="Q104" s="204"/>
      <c r="R104" s="52"/>
      <c r="S104" s="21"/>
      <c r="T104" s="213"/>
      <c r="U104" s="217"/>
      <c r="V104" s="218"/>
      <c r="W104" s="224"/>
      <c r="AA104" s="31"/>
      <c r="AB104" s="31"/>
    </row>
    <row r="105" spans="1:28" ht="12.75">
      <c r="A105" s="269"/>
      <c r="B105" s="613">
        <v>58</v>
      </c>
      <c r="C105" s="684" t="s">
        <v>146</v>
      </c>
      <c r="D105" s="688" t="s">
        <v>248</v>
      </c>
      <c r="E105" s="686">
        <v>0</v>
      </c>
      <c r="F105" s="687">
        <v>143312000</v>
      </c>
      <c r="G105" s="686">
        <v>0</v>
      </c>
      <c r="H105" s="683">
        <f aca="true" t="shared" si="3" ref="H105:H136">G105/789537304341.412</f>
        <v>0</v>
      </c>
      <c r="Q105" s="204"/>
      <c r="R105" s="52"/>
      <c r="S105" s="21"/>
      <c r="T105" s="213"/>
      <c r="U105" s="217"/>
      <c r="V105" s="218"/>
      <c r="W105" s="224"/>
      <c r="AA105" s="31"/>
      <c r="AB105" s="31"/>
    </row>
    <row r="106" spans="1:28" ht="12.75">
      <c r="A106" s="269"/>
      <c r="B106" s="614"/>
      <c r="C106" s="684" t="s">
        <v>20</v>
      </c>
      <c r="D106" s="680" t="s">
        <v>246</v>
      </c>
      <c r="E106" s="686">
        <v>692.6853706319886</v>
      </c>
      <c r="F106" s="687">
        <v>4628000</v>
      </c>
      <c r="G106" s="686">
        <v>3205747895.284843</v>
      </c>
      <c r="H106" s="683">
        <f t="shared" si="3"/>
        <v>0.004060286800455742</v>
      </c>
      <c r="Q106" s="204"/>
      <c r="R106" s="52"/>
      <c r="S106" s="21"/>
      <c r="T106" s="213"/>
      <c r="U106" s="217"/>
      <c r="V106" s="218"/>
      <c r="W106" s="224"/>
      <c r="AA106" s="31"/>
      <c r="AB106" s="31"/>
    </row>
    <row r="107" spans="1:28" ht="12.75">
      <c r="A107" s="269"/>
      <c r="B107" s="613"/>
      <c r="C107" s="684" t="s">
        <v>11</v>
      </c>
      <c r="D107" s="680" t="s">
        <v>246</v>
      </c>
      <c r="E107" s="686">
        <v>440.38539337454534</v>
      </c>
      <c r="F107" s="687">
        <v>2800000</v>
      </c>
      <c r="G107" s="686">
        <v>1233079101.448727</v>
      </c>
      <c r="H107" s="683">
        <f t="shared" si="3"/>
        <v>0.0015617743388037792</v>
      </c>
      <c r="Q107" s="204"/>
      <c r="R107" s="52"/>
      <c r="S107" s="21"/>
      <c r="T107" s="213"/>
      <c r="U107" s="217"/>
      <c r="V107" s="218"/>
      <c r="W107" s="224"/>
      <c r="AA107" s="31"/>
      <c r="AB107" s="31"/>
    </row>
    <row r="108" spans="1:28" ht="12.75">
      <c r="A108" s="269"/>
      <c r="B108" s="614"/>
      <c r="C108" s="684" t="s">
        <v>120</v>
      </c>
      <c r="D108" s="688" t="s">
        <v>248</v>
      </c>
      <c r="E108" s="686">
        <v>0</v>
      </c>
      <c r="F108" s="687">
        <v>175495000</v>
      </c>
      <c r="G108" s="686">
        <v>0</v>
      </c>
      <c r="H108" s="683">
        <f t="shared" si="3"/>
        <v>0</v>
      </c>
      <c r="Q108" s="204"/>
      <c r="R108" s="52"/>
      <c r="S108" s="21"/>
      <c r="T108" s="213"/>
      <c r="U108" s="217"/>
      <c r="V108" s="218"/>
      <c r="W108" s="224"/>
      <c r="AA108" s="31"/>
      <c r="AB108" s="31"/>
    </row>
    <row r="109" spans="1:28" ht="12.75">
      <c r="A109" s="269"/>
      <c r="B109" s="613"/>
      <c r="C109" s="684" t="s">
        <v>36</v>
      </c>
      <c r="D109" s="685" t="s">
        <v>247</v>
      </c>
      <c r="E109" s="686">
        <v>22.778673167641298</v>
      </c>
      <c r="F109" s="687">
        <v>3258000</v>
      </c>
      <c r="G109" s="686">
        <v>74212917.18017535</v>
      </c>
      <c r="H109" s="683">
        <f t="shared" si="3"/>
        <v>9.399545375766587E-05</v>
      </c>
      <c r="Q109" s="204"/>
      <c r="R109" s="52"/>
      <c r="S109" s="21"/>
      <c r="T109" s="213"/>
      <c r="U109" s="217"/>
      <c r="V109" s="218"/>
      <c r="W109" s="224"/>
      <c r="AA109" s="31"/>
      <c r="AB109" s="31"/>
    </row>
    <row r="110" spans="1:28" ht="12.75">
      <c r="A110" s="269"/>
      <c r="B110" s="614">
        <v>90</v>
      </c>
      <c r="C110" s="684" t="s">
        <v>132</v>
      </c>
      <c r="D110" s="688" t="s">
        <v>248</v>
      </c>
      <c r="E110" s="686">
        <v>0</v>
      </c>
      <c r="F110" s="687">
        <v>5691000</v>
      </c>
      <c r="G110" s="686">
        <v>0</v>
      </c>
      <c r="H110" s="683">
        <f t="shared" si="3"/>
        <v>0</v>
      </c>
      <c r="Q110" s="204"/>
      <c r="R110" s="52"/>
      <c r="S110" s="21"/>
      <c r="T110" s="213"/>
      <c r="U110" s="217"/>
      <c r="V110" s="218"/>
      <c r="W110" s="224"/>
      <c r="AA110" s="31"/>
      <c r="AB110" s="31"/>
    </row>
    <row r="111" spans="1:28" ht="12.75">
      <c r="A111" s="269"/>
      <c r="B111" s="613"/>
      <c r="C111" s="684" t="s">
        <v>67</v>
      </c>
      <c r="D111" s="688" t="s">
        <v>248</v>
      </c>
      <c r="E111" s="686">
        <v>0</v>
      </c>
      <c r="F111" s="687">
        <v>6113000</v>
      </c>
      <c r="G111" s="686">
        <v>0</v>
      </c>
      <c r="H111" s="683">
        <f t="shared" si="3"/>
        <v>0</v>
      </c>
      <c r="Q111" s="204"/>
      <c r="R111" s="52"/>
      <c r="S111" s="21"/>
      <c r="T111" s="213"/>
      <c r="U111" s="217"/>
      <c r="V111" s="218"/>
      <c r="W111" s="224"/>
      <c r="AA111" s="31"/>
      <c r="AB111" s="31"/>
    </row>
    <row r="112" spans="1:28" ht="12.75">
      <c r="A112" s="269"/>
      <c r="B112" s="614">
        <v>11</v>
      </c>
      <c r="C112" s="684" t="s">
        <v>41</v>
      </c>
      <c r="D112" s="688" t="s">
        <v>248</v>
      </c>
      <c r="E112" s="686">
        <v>0</v>
      </c>
      <c r="F112" s="687">
        <v>28809000</v>
      </c>
      <c r="G112" s="686">
        <v>0</v>
      </c>
      <c r="H112" s="683">
        <f t="shared" si="3"/>
        <v>0</v>
      </c>
      <c r="Q112" s="204"/>
      <c r="R112" s="52"/>
      <c r="S112" s="21"/>
      <c r="T112" s="213"/>
      <c r="U112" s="217"/>
      <c r="V112" s="218"/>
      <c r="W112" s="224"/>
      <c r="AA112" s="31"/>
      <c r="AB112" s="31"/>
    </row>
    <row r="113" spans="1:28" ht="12.75">
      <c r="A113" s="269"/>
      <c r="B113" s="613">
        <v>27</v>
      </c>
      <c r="C113" s="684" t="s">
        <v>58</v>
      </c>
      <c r="D113" s="688" t="s">
        <v>248</v>
      </c>
      <c r="E113" s="686">
        <v>0</v>
      </c>
      <c r="F113" s="687">
        <v>94157000</v>
      </c>
      <c r="G113" s="686">
        <v>0</v>
      </c>
      <c r="H113" s="683">
        <f t="shared" si="3"/>
        <v>0</v>
      </c>
      <c r="Q113" s="204"/>
      <c r="R113" s="52"/>
      <c r="S113" s="21"/>
      <c r="T113" s="213"/>
      <c r="U113" s="217"/>
      <c r="V113" s="218"/>
      <c r="W113" s="224"/>
      <c r="AA113" s="31"/>
      <c r="AB113" s="31"/>
    </row>
    <row r="114" spans="1:28" ht="12.75">
      <c r="A114" s="269"/>
      <c r="B114" s="614"/>
      <c r="C114" s="684" t="s">
        <v>69</v>
      </c>
      <c r="D114" s="685" t="s">
        <v>247</v>
      </c>
      <c r="E114" s="686">
        <v>9.665817946931574</v>
      </c>
      <c r="F114" s="687">
        <v>38518000</v>
      </c>
      <c r="G114" s="686">
        <v>372307975.67991036</v>
      </c>
      <c r="H114" s="683">
        <f t="shared" si="3"/>
        <v>0.0004715521022663634</v>
      </c>
      <c r="Q114" s="204"/>
      <c r="R114" s="52"/>
      <c r="S114" s="21"/>
      <c r="T114" s="213"/>
      <c r="U114" s="217"/>
      <c r="V114" s="218"/>
      <c r="W114" s="224"/>
      <c r="AA114" s="31"/>
      <c r="AB114" s="31"/>
    </row>
    <row r="115" spans="1:28" ht="12.75">
      <c r="A115" s="269"/>
      <c r="B115" s="613"/>
      <c r="C115" s="684" t="s">
        <v>32</v>
      </c>
      <c r="D115" s="680" t="s">
        <v>246</v>
      </c>
      <c r="E115" s="686">
        <v>229.9895011227746</v>
      </c>
      <c r="F115" s="687">
        <v>10643000</v>
      </c>
      <c r="G115" s="686">
        <v>2447778260.4496903</v>
      </c>
      <c r="H115" s="683">
        <f t="shared" si="3"/>
        <v>0.0031002692931545403</v>
      </c>
      <c r="Q115" s="204"/>
      <c r="R115" s="52"/>
      <c r="S115" s="21"/>
      <c r="T115" s="213"/>
      <c r="U115" s="217"/>
      <c r="V115" s="218"/>
      <c r="W115" s="224"/>
      <c r="AA115" s="31"/>
      <c r="AB115" s="31"/>
    </row>
    <row r="116" spans="1:28" ht="12.75">
      <c r="A116" s="269"/>
      <c r="B116" s="614"/>
      <c r="C116" s="684" t="s">
        <v>12</v>
      </c>
      <c r="D116" s="689" t="s">
        <v>275</v>
      </c>
      <c r="E116" s="686">
        <v>4238.841488128175</v>
      </c>
      <c r="F116" s="687">
        <v>815000</v>
      </c>
      <c r="G116" s="686">
        <v>3454655812.824463</v>
      </c>
      <c r="H116" s="683">
        <f t="shared" si="3"/>
        <v>0.004375544757452777</v>
      </c>
      <c r="Q116" s="204"/>
      <c r="R116" s="6"/>
      <c r="S116" s="21"/>
      <c r="T116" s="213"/>
      <c r="U116" s="217"/>
      <c r="V116" s="218"/>
      <c r="W116" s="224"/>
      <c r="AA116" s="31"/>
      <c r="AB116" s="31"/>
    </row>
    <row r="117" spans="1:28" ht="12.75">
      <c r="A117" s="269"/>
      <c r="B117" s="613">
        <v>13</v>
      </c>
      <c r="C117" s="684" t="s">
        <v>54</v>
      </c>
      <c r="D117" s="688" t="s">
        <v>248</v>
      </c>
      <c r="E117" s="686">
        <v>0</v>
      </c>
      <c r="F117" s="687">
        <v>22106000</v>
      </c>
      <c r="G117" s="686">
        <v>0</v>
      </c>
      <c r="H117" s="683">
        <f t="shared" si="3"/>
        <v>0</v>
      </c>
      <c r="Q117" s="204"/>
      <c r="R117" s="52"/>
      <c r="S117" s="21"/>
      <c r="T117" s="213"/>
      <c r="U117" s="217"/>
      <c r="V117" s="218"/>
      <c r="W117" s="224"/>
      <c r="AA117" s="31"/>
      <c r="AB117" s="31"/>
    </row>
    <row r="118" spans="1:28" ht="12.75">
      <c r="A118" s="269"/>
      <c r="B118" s="614">
        <v>21</v>
      </c>
      <c r="C118" s="684" t="s">
        <v>74</v>
      </c>
      <c r="D118" s="680" t="s">
        <v>246</v>
      </c>
      <c r="E118" s="686">
        <v>113.12396231836513</v>
      </c>
      <c r="F118" s="687">
        <v>141378000</v>
      </c>
      <c r="G118" s="686">
        <v>15993239544.645826</v>
      </c>
      <c r="H118" s="683">
        <f t="shared" si="3"/>
        <v>0.020256471045388406</v>
      </c>
      <c r="Q118" s="204"/>
      <c r="R118" s="52"/>
      <c r="S118" s="21"/>
      <c r="T118" s="213"/>
      <c r="U118" s="217"/>
      <c r="V118" s="218"/>
      <c r="W118" s="224"/>
      <c r="AA118" s="31"/>
      <c r="AB118" s="31"/>
    </row>
    <row r="119" spans="1:28" ht="12.75">
      <c r="A119" s="269"/>
      <c r="B119" s="613"/>
      <c r="C119" s="684" t="s">
        <v>129</v>
      </c>
      <c r="D119" s="688" t="s">
        <v>248</v>
      </c>
      <c r="E119" s="686">
        <v>0</v>
      </c>
      <c r="F119" s="687">
        <v>10141000</v>
      </c>
      <c r="G119" s="686">
        <v>0</v>
      </c>
      <c r="H119" s="683">
        <f t="shared" si="3"/>
        <v>0</v>
      </c>
      <c r="Q119" s="204"/>
      <c r="R119" s="52"/>
      <c r="S119" s="21"/>
      <c r="T119" s="213"/>
      <c r="U119" s="217"/>
      <c r="V119" s="218"/>
      <c r="W119" s="224"/>
      <c r="AA119" s="31"/>
      <c r="AB119" s="31"/>
    </row>
    <row r="120" spans="1:28" ht="12.75">
      <c r="A120" s="269"/>
      <c r="B120" s="614">
        <v>73</v>
      </c>
      <c r="C120" s="684" t="s">
        <v>99</v>
      </c>
      <c r="D120" s="680" t="s">
        <v>246</v>
      </c>
      <c r="E120" s="686">
        <v>605.3325197532145</v>
      </c>
      <c r="F120" s="687">
        <v>24499000</v>
      </c>
      <c r="G120" s="686">
        <v>14830041401.434</v>
      </c>
      <c r="H120" s="683">
        <f t="shared" si="3"/>
        <v>0.018783205454496407</v>
      </c>
      <c r="Q120" s="204"/>
      <c r="R120" s="52"/>
      <c r="S120" s="21"/>
      <c r="T120" s="213"/>
      <c r="U120" s="217"/>
      <c r="V120" s="218"/>
      <c r="W120" s="224"/>
      <c r="AA120" s="31"/>
      <c r="AB120" s="31"/>
    </row>
    <row r="121" spans="1:28" ht="12.75">
      <c r="A121" s="269"/>
      <c r="B121" s="613"/>
      <c r="C121" s="684" t="s">
        <v>137</v>
      </c>
      <c r="D121" s="688" t="s">
        <v>248</v>
      </c>
      <c r="E121" s="686">
        <v>0</v>
      </c>
      <c r="F121" s="687">
        <v>11394000</v>
      </c>
      <c r="G121" s="686">
        <v>0</v>
      </c>
      <c r="H121" s="683">
        <f t="shared" si="3"/>
        <v>0</v>
      </c>
      <c r="Q121" s="204"/>
      <c r="R121" s="52"/>
      <c r="S121" s="21"/>
      <c r="T121" s="213"/>
      <c r="U121" s="217"/>
      <c r="V121" s="218"/>
      <c r="W121" s="224"/>
      <c r="AA121" s="31"/>
      <c r="AB121" s="31"/>
    </row>
    <row r="122" spans="1:28" ht="12.75">
      <c r="A122" s="269"/>
      <c r="B122" s="614"/>
      <c r="C122" s="684" t="s">
        <v>238</v>
      </c>
      <c r="D122" s="685" t="s">
        <v>247</v>
      </c>
      <c r="E122" s="686">
        <v>47.214371990131475</v>
      </c>
      <c r="F122" s="687">
        <v>9233000</v>
      </c>
      <c r="G122" s="686">
        <v>435930296.5848839</v>
      </c>
      <c r="H122" s="683">
        <f t="shared" si="3"/>
        <v>0.0005521338816897482</v>
      </c>
      <c r="Q122" s="204"/>
      <c r="R122" s="52"/>
      <c r="S122" s="21"/>
      <c r="T122" s="213"/>
      <c r="U122" s="217"/>
      <c r="V122" s="218"/>
      <c r="W122" s="224"/>
      <c r="AA122" s="31"/>
      <c r="AB122" s="31"/>
    </row>
    <row r="123" spans="1:28" ht="12.75">
      <c r="A123" s="269"/>
      <c r="B123" s="613"/>
      <c r="C123" s="684" t="s">
        <v>155</v>
      </c>
      <c r="D123" s="688" t="s">
        <v>248</v>
      </c>
      <c r="E123" s="686">
        <v>0</v>
      </c>
      <c r="F123" s="687">
        <v>4918000</v>
      </c>
      <c r="G123" s="686">
        <v>0</v>
      </c>
      <c r="H123" s="683">
        <f t="shared" si="3"/>
        <v>0</v>
      </c>
      <c r="Q123" s="204"/>
      <c r="R123" s="52"/>
      <c r="S123" s="21"/>
      <c r="T123" s="213"/>
      <c r="U123" s="217"/>
      <c r="V123" s="218"/>
      <c r="W123" s="224"/>
      <c r="AA123" s="31"/>
      <c r="AB123" s="31"/>
    </row>
    <row r="124" spans="1:28" ht="12.75">
      <c r="A124" s="269"/>
      <c r="B124" s="614"/>
      <c r="C124" s="684" t="s">
        <v>13</v>
      </c>
      <c r="D124" s="689" t="s">
        <v>275</v>
      </c>
      <c r="E124" s="686">
        <v>2254.8665969901745</v>
      </c>
      <c r="F124" s="687">
        <v>4553000</v>
      </c>
      <c r="G124" s="686">
        <v>10266407616.096264</v>
      </c>
      <c r="H124" s="683">
        <f t="shared" si="3"/>
        <v>0.013003068454960376</v>
      </c>
      <c r="Q124" s="204"/>
      <c r="R124" s="52"/>
      <c r="S124" s="21"/>
      <c r="T124" s="213"/>
      <c r="U124" s="217"/>
      <c r="V124" s="218"/>
      <c r="W124" s="224"/>
      <c r="AA124" s="31"/>
      <c r="AB124" s="31"/>
    </row>
    <row r="125" spans="1:28" ht="12.75">
      <c r="A125" s="269"/>
      <c r="B125" s="613">
        <v>45</v>
      </c>
      <c r="C125" s="684" t="s">
        <v>27</v>
      </c>
      <c r="D125" s="685" t="s">
        <v>247</v>
      </c>
      <c r="E125" s="686">
        <v>88.75023474904964</v>
      </c>
      <c r="F125" s="687">
        <v>5448000</v>
      </c>
      <c r="G125" s="686">
        <v>483511278.9128224</v>
      </c>
      <c r="H125" s="683">
        <f t="shared" si="3"/>
        <v>0.0006123982695360298</v>
      </c>
      <c r="Q125" s="204"/>
      <c r="R125" s="52"/>
      <c r="S125" s="21"/>
      <c r="T125" s="213"/>
      <c r="U125" s="217"/>
      <c r="V125" s="218"/>
      <c r="W125" s="224"/>
      <c r="AA125" s="31"/>
      <c r="AB125" s="31"/>
    </row>
    <row r="126" spans="1:28" ht="12.75">
      <c r="A126" s="269"/>
      <c r="B126" s="614">
        <v>31</v>
      </c>
      <c r="C126" s="684" t="s">
        <v>62</v>
      </c>
      <c r="D126" s="680" t="s">
        <v>246</v>
      </c>
      <c r="E126" s="686">
        <v>252.10687688456255</v>
      </c>
      <c r="F126" s="687">
        <v>2009000</v>
      </c>
      <c r="G126" s="686">
        <v>506482715.66108614</v>
      </c>
      <c r="H126" s="683">
        <f t="shared" si="3"/>
        <v>0.0006414930781308248</v>
      </c>
      <c r="Q126" s="204"/>
      <c r="R126" s="52"/>
      <c r="S126" s="21"/>
      <c r="T126" s="213"/>
      <c r="U126" s="217"/>
      <c r="V126" s="218"/>
      <c r="W126" s="224"/>
      <c r="AA126" s="31"/>
      <c r="AB126" s="31"/>
    </row>
    <row r="127" spans="1:28" ht="12.75">
      <c r="A127" s="269"/>
      <c r="B127" s="613">
        <v>1</v>
      </c>
      <c r="C127" s="684" t="s">
        <v>112</v>
      </c>
      <c r="D127" s="680" t="s">
        <v>246</v>
      </c>
      <c r="E127" s="686">
        <v>111.0104501727297</v>
      </c>
      <c r="F127" s="687">
        <v>48367000</v>
      </c>
      <c r="G127" s="686">
        <v>5369242443.504417</v>
      </c>
      <c r="H127" s="683">
        <f t="shared" si="3"/>
        <v>0.006800492407364007</v>
      </c>
      <c r="Q127" s="204"/>
      <c r="R127" s="52"/>
      <c r="S127" s="21"/>
      <c r="T127" s="213"/>
      <c r="U127" s="217"/>
      <c r="V127" s="218"/>
      <c r="W127" s="224"/>
      <c r="AA127" s="31"/>
      <c r="AB127" s="31"/>
    </row>
    <row r="128" spans="1:28" ht="12.75">
      <c r="A128" s="269"/>
      <c r="B128" s="613"/>
      <c r="C128" s="693" t="s">
        <v>95</v>
      </c>
      <c r="D128" s="680" t="s">
        <v>246</v>
      </c>
      <c r="E128" s="686">
        <v>546.2786621373937</v>
      </c>
      <c r="F128" s="687">
        <v>48250000</v>
      </c>
      <c r="G128" s="686">
        <v>26357945448.129246</v>
      </c>
      <c r="H128" s="683">
        <f t="shared" si="3"/>
        <v>0.033384040631386724</v>
      </c>
      <c r="Q128" s="204"/>
      <c r="R128" s="52"/>
      <c r="S128" s="21"/>
      <c r="T128" s="213"/>
      <c r="U128" s="217"/>
      <c r="V128" s="218"/>
      <c r="W128" s="224"/>
      <c r="AA128" s="31"/>
      <c r="AB128" s="31"/>
    </row>
    <row r="129" spans="1:28" ht="12.75">
      <c r="A129" s="269"/>
      <c r="B129" s="614">
        <v>39</v>
      </c>
      <c r="C129" s="684" t="s">
        <v>37</v>
      </c>
      <c r="D129" s="680" t="s">
        <v>246</v>
      </c>
      <c r="E129" s="686">
        <v>421.2475707281258</v>
      </c>
      <c r="F129" s="687">
        <v>45212000</v>
      </c>
      <c r="G129" s="686">
        <v>19045445167.760025</v>
      </c>
      <c r="H129" s="683">
        <f t="shared" si="3"/>
        <v>0.024122286639320575</v>
      </c>
      <c r="Q129" s="204"/>
      <c r="R129" s="52"/>
      <c r="S129" s="21"/>
      <c r="T129" s="213"/>
      <c r="U129" s="217"/>
      <c r="V129" s="218"/>
      <c r="W129" s="224"/>
      <c r="AA129" s="31"/>
      <c r="AB129" s="31"/>
    </row>
    <row r="130" spans="1:28" ht="12.75">
      <c r="A130" s="269"/>
      <c r="B130" s="613"/>
      <c r="C130" s="679" t="s">
        <v>65</v>
      </c>
      <c r="D130" s="688" t="s">
        <v>248</v>
      </c>
      <c r="E130" s="681">
        <v>0</v>
      </c>
      <c r="F130" s="682">
        <v>20926000</v>
      </c>
      <c r="G130" s="681">
        <v>0</v>
      </c>
      <c r="H130" s="683">
        <f t="shared" si="3"/>
        <v>0</v>
      </c>
      <c r="Q130" s="204"/>
      <c r="R130" s="52"/>
      <c r="S130" s="21"/>
      <c r="T130" s="213"/>
      <c r="U130" s="217"/>
      <c r="V130" s="218"/>
      <c r="W130" s="224"/>
      <c r="AA130" s="31"/>
      <c r="AB130" s="31"/>
    </row>
    <row r="131" spans="1:28" ht="12.75">
      <c r="A131" s="269"/>
      <c r="B131" s="614"/>
      <c r="C131" s="684" t="s">
        <v>124</v>
      </c>
      <c r="D131" s="688" t="s">
        <v>248</v>
      </c>
      <c r="E131" s="686">
        <v>0</v>
      </c>
      <c r="F131" s="687">
        <v>40526000</v>
      </c>
      <c r="G131" s="686">
        <v>0</v>
      </c>
      <c r="H131" s="683">
        <f t="shared" si="3"/>
        <v>0</v>
      </c>
      <c r="Q131" s="204"/>
      <c r="R131" s="52"/>
      <c r="S131" s="21"/>
      <c r="T131" s="213"/>
      <c r="U131" s="217"/>
      <c r="V131" s="218"/>
      <c r="W131" s="224"/>
      <c r="AA131" s="31"/>
      <c r="AB131" s="31"/>
    </row>
    <row r="132" spans="1:28" ht="12.75">
      <c r="A132" s="269"/>
      <c r="B132" s="613">
        <v>16</v>
      </c>
      <c r="C132" s="684" t="s">
        <v>101</v>
      </c>
      <c r="D132" s="688" t="s">
        <v>248</v>
      </c>
      <c r="E132" s="686">
        <v>0</v>
      </c>
      <c r="F132" s="687">
        <v>1300000</v>
      </c>
      <c r="G132" s="686">
        <v>0</v>
      </c>
      <c r="H132" s="683">
        <f t="shared" si="3"/>
        <v>0</v>
      </c>
      <c r="Q132" s="204"/>
      <c r="R132" s="52"/>
      <c r="S132" s="21"/>
      <c r="T132" s="213"/>
      <c r="U132" s="217"/>
      <c r="V132" s="218"/>
      <c r="W132" s="224"/>
      <c r="AA132" s="31"/>
      <c r="AB132" s="31"/>
    </row>
    <row r="133" spans="1:28" ht="12.75">
      <c r="A133" s="269"/>
      <c r="B133" s="614"/>
      <c r="C133" s="684" t="s">
        <v>19</v>
      </c>
      <c r="D133" s="680" t="s">
        <v>246</v>
      </c>
      <c r="E133" s="686">
        <v>175.13198804877123</v>
      </c>
      <c r="F133" s="687">
        <v>9031000</v>
      </c>
      <c r="G133" s="686">
        <v>1581616984.068453</v>
      </c>
      <c r="H133" s="683">
        <f t="shared" si="3"/>
        <v>0.0020032200826631615</v>
      </c>
      <c r="Q133" s="204"/>
      <c r="R133" s="52"/>
      <c r="S133" s="21"/>
      <c r="T133" s="213"/>
      <c r="U133" s="217"/>
      <c r="V133" s="218"/>
      <c r="W133" s="224"/>
      <c r="AA133" s="31"/>
      <c r="AB133" s="31"/>
    </row>
    <row r="134" spans="1:28" ht="12.75">
      <c r="A134" s="269"/>
      <c r="B134" s="613">
        <v>57</v>
      </c>
      <c r="C134" s="684" t="s">
        <v>17</v>
      </c>
      <c r="D134" s="680" t="s">
        <v>246</v>
      </c>
      <c r="E134" s="686">
        <v>139.0608063170841</v>
      </c>
      <c r="F134" s="687">
        <v>7589000</v>
      </c>
      <c r="G134" s="686">
        <v>1055332459.1403512</v>
      </c>
      <c r="H134" s="683">
        <f t="shared" si="3"/>
        <v>0.0013366467339002439</v>
      </c>
      <c r="Q134" s="204"/>
      <c r="R134" s="52"/>
      <c r="S134" s="21"/>
      <c r="T134" s="213"/>
      <c r="U134" s="217"/>
      <c r="V134" s="218"/>
      <c r="W134" s="224"/>
      <c r="AA134" s="31"/>
      <c r="AB134" s="31"/>
    </row>
    <row r="135" spans="1:28" ht="12.75">
      <c r="A135" s="269"/>
      <c r="B135" s="614"/>
      <c r="C135" s="684" t="s">
        <v>63</v>
      </c>
      <c r="D135" s="685" t="s">
        <v>247</v>
      </c>
      <c r="E135" s="686">
        <v>8.030966059396967</v>
      </c>
      <c r="F135" s="687">
        <v>20488000</v>
      </c>
      <c r="G135" s="686">
        <v>164538432.62492505</v>
      </c>
      <c r="H135" s="683">
        <f t="shared" si="3"/>
        <v>0.0002083985540900741</v>
      </c>
      <c r="Q135" s="204"/>
      <c r="R135" s="52"/>
      <c r="S135" s="21"/>
      <c r="T135" s="213"/>
      <c r="U135" s="217"/>
      <c r="V135" s="218"/>
      <c r="W135" s="224"/>
      <c r="AA135" s="31"/>
      <c r="AB135" s="31"/>
    </row>
    <row r="136" spans="1:28" ht="12.75">
      <c r="A136" s="269"/>
      <c r="B136" s="613">
        <v>3</v>
      </c>
      <c r="C136" s="684" t="s">
        <v>109</v>
      </c>
      <c r="D136" s="688" t="s">
        <v>248</v>
      </c>
      <c r="E136" s="686">
        <v>0</v>
      </c>
      <c r="F136" s="687">
        <v>7077000</v>
      </c>
      <c r="G136" s="686">
        <v>0</v>
      </c>
      <c r="H136" s="683">
        <f t="shared" si="3"/>
        <v>0</v>
      </c>
      <c r="Q136" s="204"/>
      <c r="R136" s="52"/>
      <c r="S136" s="21"/>
      <c r="T136" s="213"/>
      <c r="U136" s="217"/>
      <c r="V136" s="218"/>
      <c r="W136" s="224"/>
      <c r="AA136" s="31"/>
      <c r="AB136" s="31"/>
    </row>
    <row r="137" spans="1:28" ht="12.75">
      <c r="A137" s="269"/>
      <c r="B137" s="614">
        <v>49</v>
      </c>
      <c r="C137" s="684" t="s">
        <v>121</v>
      </c>
      <c r="D137" s="688" t="s">
        <v>248</v>
      </c>
      <c r="E137" s="686">
        <v>0</v>
      </c>
      <c r="F137" s="687">
        <v>39384000</v>
      </c>
      <c r="G137" s="686">
        <v>0</v>
      </c>
      <c r="H137" s="683">
        <f aca="true" t="shared" si="4" ref="H137:H154">G137/789537304341.412</f>
        <v>0</v>
      </c>
      <c r="Q137" s="204"/>
      <c r="R137" s="52"/>
      <c r="S137" s="21"/>
      <c r="T137" s="213"/>
      <c r="U137" s="217"/>
      <c r="V137" s="218"/>
      <c r="W137" s="224"/>
      <c r="AA137" s="31"/>
      <c r="AB137" s="31"/>
    </row>
    <row r="138" spans="1:28" ht="12.75">
      <c r="A138" s="269"/>
      <c r="B138" s="613">
        <v>29</v>
      </c>
      <c r="C138" s="684" t="s">
        <v>72</v>
      </c>
      <c r="D138" s="685" t="s">
        <v>247</v>
      </c>
      <c r="E138" s="686">
        <v>39.56797737781605</v>
      </c>
      <c r="F138" s="687">
        <v>65717000</v>
      </c>
      <c r="G138" s="686">
        <v>2600288769.3379374</v>
      </c>
      <c r="H138" s="683">
        <f t="shared" si="4"/>
        <v>0.0032934337048291257</v>
      </c>
      <c r="Q138" s="204"/>
      <c r="R138" s="52"/>
      <c r="S138" s="21"/>
      <c r="T138" s="213"/>
      <c r="U138" s="217"/>
      <c r="V138" s="218"/>
      <c r="W138" s="224"/>
      <c r="AA138" s="31"/>
      <c r="AB138" s="31"/>
    </row>
    <row r="139" spans="1:28" ht="12.75">
      <c r="A139" s="269"/>
      <c r="B139" s="613"/>
      <c r="C139" s="684" t="s">
        <v>151</v>
      </c>
      <c r="D139" s="688" t="s">
        <v>248</v>
      </c>
      <c r="E139" s="686">
        <v>0</v>
      </c>
      <c r="F139" s="687">
        <v>6042000</v>
      </c>
      <c r="G139" s="686">
        <v>0</v>
      </c>
      <c r="H139" s="683">
        <f t="shared" si="4"/>
        <v>0</v>
      </c>
      <c r="Q139" s="204"/>
      <c r="R139" s="52"/>
      <c r="S139" s="21"/>
      <c r="T139" s="213"/>
      <c r="U139" s="217"/>
      <c r="V139" s="218"/>
      <c r="W139" s="224"/>
      <c r="AA139" s="31"/>
      <c r="AB139" s="31"/>
    </row>
    <row r="140" spans="1:28" ht="12.75">
      <c r="A140" s="269"/>
      <c r="B140" s="613">
        <v>42</v>
      </c>
      <c r="C140" s="684" t="s">
        <v>233</v>
      </c>
      <c r="D140" s="689" t="s">
        <v>275</v>
      </c>
      <c r="E140" s="686">
        <v>1363.359790567549</v>
      </c>
      <c r="F140" s="687">
        <v>1233000</v>
      </c>
      <c r="G140" s="686">
        <v>1681022621.769788</v>
      </c>
      <c r="H140" s="683">
        <f t="shared" si="4"/>
        <v>0.0021291237444087626</v>
      </c>
      <c r="Q140" s="204"/>
      <c r="R140" s="52"/>
      <c r="S140" s="21"/>
      <c r="T140" s="213"/>
      <c r="U140" s="217"/>
      <c r="V140" s="218"/>
      <c r="W140" s="224"/>
      <c r="AA140" s="31"/>
      <c r="AB140" s="31"/>
    </row>
    <row r="141" spans="1:28" ht="12.75">
      <c r="A141" s="269"/>
      <c r="B141" s="613">
        <v>19</v>
      </c>
      <c r="C141" s="684" t="s">
        <v>78</v>
      </c>
      <c r="D141" s="685" t="s">
        <v>247</v>
      </c>
      <c r="E141" s="686">
        <v>14.519405291210777</v>
      </c>
      <c r="F141" s="687">
        <v>10281000</v>
      </c>
      <c r="G141" s="686">
        <v>149274005.798938</v>
      </c>
      <c r="H141" s="683">
        <f t="shared" si="4"/>
        <v>0.0001890651714341149</v>
      </c>
      <c r="Q141" s="204"/>
      <c r="R141" s="52"/>
      <c r="S141" s="21"/>
      <c r="T141" s="213"/>
      <c r="U141" s="217"/>
      <c r="V141" s="218"/>
      <c r="W141" s="224"/>
      <c r="AA141" s="31"/>
      <c r="AB141" s="31"/>
    </row>
    <row r="142" spans="1:28" ht="12.75">
      <c r="A142" s="269"/>
      <c r="B142" s="613">
        <v>24</v>
      </c>
      <c r="C142" s="684" t="s">
        <v>81</v>
      </c>
      <c r="D142" s="685" t="s">
        <v>247</v>
      </c>
      <c r="E142" s="686">
        <v>31.621479572470058</v>
      </c>
      <c r="F142" s="687">
        <v>74768000</v>
      </c>
      <c r="G142" s="686">
        <v>2364274784.6744413</v>
      </c>
      <c r="H142" s="683">
        <f t="shared" si="4"/>
        <v>0.002994506746766814</v>
      </c>
      <c r="Q142" s="204"/>
      <c r="R142" s="52"/>
      <c r="S142" s="21"/>
      <c r="T142" s="213"/>
      <c r="U142" s="217"/>
      <c r="V142" s="218"/>
      <c r="W142" s="224"/>
      <c r="AA142" s="31"/>
      <c r="AB142" s="31"/>
    </row>
    <row r="143" spans="1:28" ht="12.75">
      <c r="A143" s="269"/>
      <c r="B143" s="614"/>
      <c r="C143" s="684" t="s">
        <v>14</v>
      </c>
      <c r="D143" s="680" t="s">
        <v>246</v>
      </c>
      <c r="E143" s="686">
        <v>106.2443504093457</v>
      </c>
      <c r="F143" s="687">
        <v>4774000</v>
      </c>
      <c r="G143" s="686">
        <v>507210528.8542164</v>
      </c>
      <c r="H143" s="683">
        <f t="shared" si="4"/>
        <v>0.0006424149005566028</v>
      </c>
      <c r="Q143" s="204"/>
      <c r="R143" s="52"/>
      <c r="S143" s="21"/>
      <c r="T143" s="213"/>
      <c r="U143" s="217"/>
      <c r="V143" s="218"/>
      <c r="W143" s="224"/>
      <c r="AA143" s="31"/>
      <c r="AB143" s="31"/>
    </row>
    <row r="144" spans="1:28" ht="12.75">
      <c r="A144" s="269"/>
      <c r="B144" s="613"/>
      <c r="C144" s="684" t="s">
        <v>115</v>
      </c>
      <c r="D144" s="688" t="s">
        <v>248</v>
      </c>
      <c r="E144" s="686">
        <v>0</v>
      </c>
      <c r="F144" s="687">
        <v>30263000</v>
      </c>
      <c r="G144" s="686">
        <v>0</v>
      </c>
      <c r="H144" s="683">
        <f t="shared" si="4"/>
        <v>0</v>
      </c>
      <c r="Q144" s="204"/>
      <c r="R144" s="52"/>
      <c r="S144" s="21"/>
      <c r="T144" s="213"/>
      <c r="U144" s="217"/>
      <c r="V144" s="218"/>
      <c r="W144" s="224"/>
      <c r="AA144" s="31"/>
      <c r="AB144" s="31"/>
    </row>
    <row r="145" spans="1:28" ht="12.75">
      <c r="A145" s="269"/>
      <c r="B145" s="614">
        <v>70</v>
      </c>
      <c r="C145" s="684" t="s">
        <v>15</v>
      </c>
      <c r="D145" s="685" t="s">
        <v>247</v>
      </c>
      <c r="E145" s="686">
        <v>14.008458690884382</v>
      </c>
      <c r="F145" s="687">
        <v>46300000</v>
      </c>
      <c r="G145" s="686">
        <v>648591637.3879468</v>
      </c>
      <c r="H145" s="683">
        <f t="shared" si="4"/>
        <v>0.0008214832077237514</v>
      </c>
      <c r="Q145" s="204"/>
      <c r="R145" s="52"/>
      <c r="S145" s="21"/>
      <c r="T145" s="213"/>
      <c r="U145" s="217"/>
      <c r="V145" s="218"/>
      <c r="W145" s="224"/>
      <c r="AA145" s="31"/>
      <c r="AB145" s="31"/>
    </row>
    <row r="146" spans="1:28" ht="12.75">
      <c r="A146" s="269"/>
      <c r="B146" s="613"/>
      <c r="C146" s="684" t="s">
        <v>245</v>
      </c>
      <c r="D146" s="680" t="s">
        <v>246</v>
      </c>
      <c r="E146" s="686">
        <v>441.97296680110884</v>
      </c>
      <c r="F146" s="687">
        <v>4444000</v>
      </c>
      <c r="G146" s="686">
        <v>1964127864.4641278</v>
      </c>
      <c r="H146" s="683">
        <f t="shared" si="4"/>
        <v>0.0024876948228589324</v>
      </c>
      <c r="Q146" s="204"/>
      <c r="R146" s="52"/>
      <c r="S146" s="21"/>
      <c r="T146" s="213"/>
      <c r="U146" s="217"/>
      <c r="V146" s="218"/>
      <c r="W146" s="224"/>
      <c r="AA146" s="31"/>
      <c r="AB146" s="31"/>
    </row>
    <row r="147" spans="1:28" ht="12.75">
      <c r="A147" s="269"/>
      <c r="B147" s="614">
        <v>61</v>
      </c>
      <c r="C147" s="684" t="s">
        <v>28</v>
      </c>
      <c r="D147" s="680" t="s">
        <v>246</v>
      </c>
      <c r="E147" s="686">
        <v>237.4872851497014</v>
      </c>
      <c r="F147" s="687">
        <v>61506000</v>
      </c>
      <c r="G147" s="686">
        <v>14606892960.417534</v>
      </c>
      <c r="H147" s="683">
        <f t="shared" si="4"/>
        <v>0.018500573538576228</v>
      </c>
      <c r="N147" s="31"/>
      <c r="O147" s="31"/>
      <c r="Q147" s="204"/>
      <c r="R147" s="52"/>
      <c r="S147" s="21"/>
      <c r="T147" s="213"/>
      <c r="U147" s="217"/>
      <c r="V147" s="218"/>
      <c r="W147" s="224"/>
      <c r="AA147" s="31"/>
      <c r="AB147" s="31"/>
    </row>
    <row r="148" spans="1:28" ht="12.75">
      <c r="A148" s="269"/>
      <c r="B148" s="613">
        <v>46</v>
      </c>
      <c r="C148" s="684" t="s">
        <v>287</v>
      </c>
      <c r="D148" s="689" t="s">
        <v>275</v>
      </c>
      <c r="E148" s="686">
        <v>1241.2753881627882</v>
      </c>
      <c r="F148" s="687">
        <v>301580000</v>
      </c>
      <c r="G148" s="686">
        <v>374343831562.13367</v>
      </c>
      <c r="H148" s="683">
        <f t="shared" si="4"/>
        <v>0.47413064525733895</v>
      </c>
      <c r="M148" s="31"/>
      <c r="N148" s="31"/>
      <c r="O148" s="31"/>
      <c r="Q148" s="204"/>
      <c r="R148" s="52"/>
      <c r="S148" s="21"/>
      <c r="T148" s="213"/>
      <c r="U148" s="217"/>
      <c r="V148" s="218"/>
      <c r="W148" s="224"/>
      <c r="AA148" s="31"/>
      <c r="AB148" s="31"/>
    </row>
    <row r="149" spans="1:28" ht="12.75">
      <c r="A149" s="269"/>
      <c r="B149" s="614">
        <v>83</v>
      </c>
      <c r="C149" s="684" t="s">
        <v>86</v>
      </c>
      <c r="D149" s="685" t="s">
        <v>247</v>
      </c>
      <c r="E149" s="686">
        <v>0.7416011808883236</v>
      </c>
      <c r="F149" s="687">
        <v>3461000</v>
      </c>
      <c r="G149" s="686">
        <v>2566681.687054488</v>
      </c>
      <c r="H149" s="683">
        <f t="shared" si="4"/>
        <v>3.250868164102101E-06</v>
      </c>
      <c r="L149" s="31"/>
      <c r="M149" s="31"/>
      <c r="N149" s="31"/>
      <c r="O149" s="31"/>
      <c r="Q149" s="204"/>
      <c r="R149" s="52"/>
      <c r="S149" s="21"/>
      <c r="T149" s="213"/>
      <c r="U149" s="217"/>
      <c r="V149" s="218"/>
      <c r="W149" s="224"/>
      <c r="AA149" s="31"/>
      <c r="AB149" s="31"/>
    </row>
    <row r="150" spans="1:28" ht="12.75">
      <c r="A150" s="269"/>
      <c r="B150" s="613"/>
      <c r="C150" s="684" t="s">
        <v>138</v>
      </c>
      <c r="D150" s="685" t="s">
        <v>247</v>
      </c>
      <c r="E150" s="686">
        <v>6.957414605696492</v>
      </c>
      <c r="F150" s="687">
        <v>27079000</v>
      </c>
      <c r="G150" s="686">
        <v>188399830.10765532</v>
      </c>
      <c r="H150" s="683">
        <f t="shared" si="4"/>
        <v>0.00023862055544646867</v>
      </c>
      <c r="L150" s="31"/>
      <c r="M150" s="31"/>
      <c r="N150" s="31"/>
      <c r="O150" s="31"/>
      <c r="Q150" s="204"/>
      <c r="R150" s="52"/>
      <c r="S150" s="21"/>
      <c r="T150" s="213"/>
      <c r="U150" s="217"/>
      <c r="V150" s="218"/>
      <c r="W150" s="224"/>
      <c r="AA150" s="31"/>
      <c r="AB150" s="31"/>
    </row>
    <row r="151" spans="1:28" ht="12.75">
      <c r="A151" s="269"/>
      <c r="B151" s="614"/>
      <c r="C151" s="684" t="s">
        <v>70</v>
      </c>
      <c r="D151" s="685" t="s">
        <v>247</v>
      </c>
      <c r="E151" s="686">
        <v>76.89580587494937</v>
      </c>
      <c r="F151" s="687">
        <v>26024000</v>
      </c>
      <c r="G151" s="686">
        <v>2001136452.0896826</v>
      </c>
      <c r="H151" s="683">
        <f t="shared" si="4"/>
        <v>0.0025345685898387274</v>
      </c>
      <c r="L151" s="31"/>
      <c r="M151" s="31"/>
      <c r="N151" s="31"/>
      <c r="O151" s="31"/>
      <c r="Q151" s="204"/>
      <c r="R151" s="52"/>
      <c r="S151" s="21"/>
      <c r="T151" s="213"/>
      <c r="U151" s="217"/>
      <c r="V151" s="218"/>
      <c r="W151" s="224"/>
      <c r="AA151" s="31"/>
      <c r="AB151" s="31"/>
    </row>
    <row r="152" spans="1:28" ht="12.75">
      <c r="A152" s="269"/>
      <c r="B152" s="613">
        <v>59</v>
      </c>
      <c r="C152" s="684" t="s">
        <v>205</v>
      </c>
      <c r="D152" s="688" t="s">
        <v>248</v>
      </c>
      <c r="E152" s="686">
        <v>0</v>
      </c>
      <c r="F152" s="687">
        <v>86519000</v>
      </c>
      <c r="G152" s="686">
        <v>0</v>
      </c>
      <c r="H152" s="683">
        <f t="shared" si="4"/>
        <v>0</v>
      </c>
      <c r="J152" s="31"/>
      <c r="K152" s="31"/>
      <c r="L152" s="31"/>
      <c r="M152" s="31"/>
      <c r="N152" s="31"/>
      <c r="O152" s="31"/>
      <c r="Q152" s="204"/>
      <c r="R152" s="52"/>
      <c r="S152" s="21"/>
      <c r="T152" s="213"/>
      <c r="U152" s="217"/>
      <c r="V152" s="218"/>
      <c r="W152" s="224"/>
      <c r="AA152" s="31"/>
      <c r="AB152" s="31"/>
    </row>
    <row r="153" spans="1:28" ht="12.75">
      <c r="A153" s="269"/>
      <c r="B153" s="614"/>
      <c r="C153" s="684" t="s">
        <v>119</v>
      </c>
      <c r="D153" s="688" t="s">
        <v>248</v>
      </c>
      <c r="E153" s="686">
        <v>0</v>
      </c>
      <c r="F153" s="687">
        <v>21591000</v>
      </c>
      <c r="G153" s="686">
        <v>0</v>
      </c>
      <c r="H153" s="683">
        <f t="shared" si="4"/>
        <v>0</v>
      </c>
      <c r="J153" s="31"/>
      <c r="K153" s="31"/>
      <c r="L153" s="31"/>
      <c r="M153" s="31"/>
      <c r="N153" s="31"/>
      <c r="O153" s="31"/>
      <c r="Q153" s="204"/>
      <c r="R153" s="52"/>
      <c r="S153" s="21"/>
      <c r="T153" s="213"/>
      <c r="U153" s="217"/>
      <c r="V153" s="218"/>
      <c r="W153" s="224"/>
      <c r="AA153" s="31"/>
      <c r="AB153" s="31"/>
    </row>
    <row r="154" spans="1:28" ht="12.75">
      <c r="A154" s="269"/>
      <c r="B154" s="613">
        <v>6</v>
      </c>
      <c r="C154" s="684" t="s">
        <v>125</v>
      </c>
      <c r="D154" s="688" t="s">
        <v>248</v>
      </c>
      <c r="E154" s="686">
        <v>0</v>
      </c>
      <c r="F154" s="687">
        <v>12341000</v>
      </c>
      <c r="G154" s="686">
        <v>0</v>
      </c>
      <c r="H154" s="683">
        <f t="shared" si="4"/>
        <v>0</v>
      </c>
      <c r="J154" s="31"/>
      <c r="K154" s="31"/>
      <c r="L154" s="31"/>
      <c r="M154" s="31"/>
      <c r="N154" s="31"/>
      <c r="O154" s="31"/>
      <c r="Q154" s="204"/>
      <c r="R154" s="52"/>
      <c r="S154" s="21"/>
      <c r="T154" s="213"/>
      <c r="U154" s="217"/>
      <c r="V154" s="218"/>
      <c r="W154" s="224"/>
      <c r="AA154" s="31"/>
      <c r="AB154" s="31"/>
    </row>
    <row r="155" spans="1:28" ht="12.75">
      <c r="A155" s="269"/>
      <c r="B155" s="614">
        <v>77</v>
      </c>
      <c r="C155" s="694"/>
      <c r="D155" s="694"/>
      <c r="E155" s="694"/>
      <c r="F155" s="694"/>
      <c r="G155" s="694"/>
      <c r="H155" s="683"/>
      <c r="L155" s="31"/>
      <c r="M155" s="31"/>
      <c r="N155" s="31"/>
      <c r="O155" s="31"/>
      <c r="Q155" s="204"/>
      <c r="R155" s="52"/>
      <c r="S155" s="21"/>
      <c r="T155" s="213"/>
      <c r="U155" s="217"/>
      <c r="V155" s="218"/>
      <c r="W155" s="224"/>
      <c r="AA155" s="31"/>
      <c r="AB155" s="31"/>
    </row>
    <row r="156" spans="1:28" ht="12.75" hidden="1">
      <c r="A156" s="269"/>
      <c r="B156" s="613">
        <v>64</v>
      </c>
      <c r="J156" s="31"/>
      <c r="K156" s="31"/>
      <c r="L156" s="31"/>
      <c r="M156" s="31"/>
      <c r="N156" s="31"/>
      <c r="O156" s="31"/>
      <c r="Q156" s="204"/>
      <c r="R156" s="52"/>
      <c r="S156" s="21"/>
      <c r="T156" s="213"/>
      <c r="U156" s="217"/>
      <c r="V156" s="218"/>
      <c r="W156" s="224"/>
      <c r="AA156" s="31"/>
      <c r="AB156" s="31"/>
    </row>
    <row r="157" spans="1:28" ht="12.75" hidden="1">
      <c r="A157" s="269"/>
      <c r="B157" s="614">
        <v>38</v>
      </c>
      <c r="J157" s="31"/>
      <c r="K157" s="31"/>
      <c r="L157" s="31"/>
      <c r="M157" s="31"/>
      <c r="N157" s="31"/>
      <c r="O157" s="31"/>
      <c r="Q157" s="204"/>
      <c r="R157" s="52"/>
      <c r="S157" s="21"/>
      <c r="T157" s="213"/>
      <c r="U157" s="217"/>
      <c r="V157" s="218"/>
      <c r="W157" s="224"/>
      <c r="AA157" s="31"/>
      <c r="AB157" s="31"/>
    </row>
    <row r="158" spans="1:28" ht="12.75" hidden="1">
      <c r="A158" s="269"/>
      <c r="B158" s="613"/>
      <c r="J158" s="31"/>
      <c r="K158" s="31"/>
      <c r="L158" s="31"/>
      <c r="M158" s="31"/>
      <c r="N158" s="31"/>
      <c r="O158" s="31"/>
      <c r="Q158" s="204"/>
      <c r="R158" s="52"/>
      <c r="S158" s="21"/>
      <c r="T158" s="213"/>
      <c r="U158" s="217"/>
      <c r="V158" s="218"/>
      <c r="W158" s="224"/>
      <c r="AA158" s="31"/>
      <c r="AB158" s="31"/>
    </row>
    <row r="159" spans="1:28" ht="12.75" hidden="1">
      <c r="A159" s="269"/>
      <c r="B159" s="614">
        <v>81</v>
      </c>
      <c r="J159" s="31"/>
      <c r="K159" s="31"/>
      <c r="L159" s="31"/>
      <c r="M159" s="31"/>
      <c r="N159" s="31"/>
      <c r="O159" s="31"/>
      <c r="Q159" s="204"/>
      <c r="R159" s="52"/>
      <c r="S159" s="21"/>
      <c r="T159" s="213"/>
      <c r="U159" s="217"/>
      <c r="V159" s="218"/>
      <c r="W159" s="224"/>
      <c r="AA159" s="31"/>
      <c r="AB159" s="31"/>
    </row>
    <row r="160" spans="1:28" ht="12.75">
      <c r="A160" s="269"/>
      <c r="B160" s="613">
        <v>17</v>
      </c>
      <c r="C160" s="656" t="s">
        <v>423</v>
      </c>
      <c r="D160" s="657" t="s">
        <v>247</v>
      </c>
      <c r="E160" s="658">
        <f>H164</f>
        <v>121.74573818939598</v>
      </c>
      <c r="F160" s="659">
        <f>SUM(F10:F154)</f>
        <v>6485133000</v>
      </c>
      <c r="G160" s="658">
        <f>SUM(G10:G154)</f>
        <v>789537304341.4121</v>
      </c>
      <c r="H160" s="612"/>
      <c r="J160" s="31"/>
      <c r="K160" s="31"/>
      <c r="L160" s="31"/>
      <c r="M160" s="31"/>
      <c r="N160" s="31"/>
      <c r="O160" s="31"/>
      <c r="Q160" s="204"/>
      <c r="R160" s="52"/>
      <c r="S160" s="21"/>
      <c r="T160" s="213"/>
      <c r="U160" s="217"/>
      <c r="V160" s="218"/>
      <c r="W160" s="224"/>
      <c r="AA160" s="31"/>
      <c r="AB160" s="31"/>
    </row>
    <row r="161" spans="1:28" ht="12.75">
      <c r="A161" s="269"/>
      <c r="B161" s="614">
        <v>35</v>
      </c>
      <c r="C161" s="86"/>
      <c r="E161" s="86"/>
      <c r="F161" s="86"/>
      <c r="G161" s="578">
        <v>789537304341.412</v>
      </c>
      <c r="H161" s="579"/>
      <c r="J161" s="31"/>
      <c r="K161" s="31"/>
      <c r="L161" s="31"/>
      <c r="M161" s="31"/>
      <c r="N161" s="31"/>
      <c r="O161" s="31"/>
      <c r="Q161" s="204"/>
      <c r="R161" s="52"/>
      <c r="S161" s="21"/>
      <c r="T161" s="213"/>
      <c r="U161" s="217"/>
      <c r="V161" s="218"/>
      <c r="W161" s="224"/>
      <c r="AA161" s="31"/>
      <c r="AB161" s="31"/>
    </row>
    <row r="162" spans="1:28" ht="12.75">
      <c r="A162" s="269"/>
      <c r="B162" s="613">
        <v>9</v>
      </c>
      <c r="C162" s="86"/>
      <c r="E162" s="86"/>
      <c r="F162" s="86"/>
      <c r="G162" s="578" t="s">
        <v>253</v>
      </c>
      <c r="H162" s="579"/>
      <c r="N162" s="31"/>
      <c r="O162" s="31"/>
      <c r="Q162" s="204"/>
      <c r="R162" s="52"/>
      <c r="S162" s="21"/>
      <c r="T162" s="213"/>
      <c r="U162" s="217"/>
      <c r="V162" s="218"/>
      <c r="W162" s="224"/>
      <c r="AA162" s="31"/>
      <c r="AB162" s="31"/>
    </row>
    <row r="163" spans="1:28" ht="12.75">
      <c r="A163" s="269"/>
      <c r="B163" s="614"/>
      <c r="C163" s="86"/>
      <c r="E163" s="86"/>
      <c r="F163" s="86"/>
      <c r="G163" s="579"/>
      <c r="H163" s="578" t="s">
        <v>271</v>
      </c>
      <c r="N163" s="31"/>
      <c r="O163" s="31"/>
      <c r="Q163" s="204"/>
      <c r="R163" s="52"/>
      <c r="S163" s="21"/>
      <c r="T163" s="213"/>
      <c r="U163" s="217"/>
      <c r="V163" s="218"/>
      <c r="W163" s="224"/>
      <c r="AA163" s="31"/>
      <c r="AB163" s="31"/>
    </row>
    <row r="164" spans="1:28" ht="12.75">
      <c r="A164" s="269"/>
      <c r="B164" s="613">
        <v>82</v>
      </c>
      <c r="C164" s="86"/>
      <c r="E164" s="86"/>
      <c r="F164" s="86"/>
      <c r="G164" s="578"/>
      <c r="H164" s="581">
        <f>G160/F160</f>
        <v>121.74573818939598</v>
      </c>
      <c r="N164" s="31"/>
      <c r="O164" s="31"/>
      <c r="Q164" s="204"/>
      <c r="R164" s="52"/>
      <c r="S164" s="21"/>
      <c r="T164" s="213"/>
      <c r="U164" s="217"/>
      <c r="V164" s="218"/>
      <c r="W164" s="224"/>
      <c r="AA164" s="31"/>
      <c r="AB164" s="31"/>
    </row>
    <row r="165" spans="1:28" ht="12.75">
      <c r="A165" s="269"/>
      <c r="B165" s="614">
        <v>48</v>
      </c>
      <c r="C165" s="86"/>
      <c r="E165" s="86"/>
      <c r="F165" s="86"/>
      <c r="G165" s="580"/>
      <c r="H165" s="31"/>
      <c r="L165" s="143"/>
      <c r="M165" s="31"/>
      <c r="N165" s="31"/>
      <c r="O165" s="31"/>
      <c r="Q165" s="204"/>
      <c r="R165" s="52"/>
      <c r="S165" s="21"/>
      <c r="T165" s="213"/>
      <c r="U165" s="217"/>
      <c r="V165" s="218"/>
      <c r="W165" s="224"/>
      <c r="AA165" s="31"/>
      <c r="AB165" s="31"/>
    </row>
    <row r="166" spans="1:28" ht="12.75">
      <c r="A166" s="269"/>
      <c r="B166" s="613"/>
      <c r="C166" s="31"/>
      <c r="E166" s="31"/>
      <c r="F166" s="31"/>
      <c r="G166" s="31"/>
      <c r="H166" s="31"/>
      <c r="L166" s="31"/>
      <c r="M166" s="31"/>
      <c r="N166" s="31"/>
      <c r="O166" s="31"/>
      <c r="Q166" s="204"/>
      <c r="R166" s="52"/>
      <c r="S166" s="21"/>
      <c r="T166" s="213"/>
      <c r="U166" s="217"/>
      <c r="V166" s="218"/>
      <c r="W166" s="224"/>
      <c r="AA166" s="31"/>
      <c r="AB166" s="31"/>
    </row>
    <row r="167" spans="1:28" ht="12.75">
      <c r="A167" s="269"/>
      <c r="B167" s="614"/>
      <c r="C167" s="31"/>
      <c r="E167" s="31"/>
      <c r="F167" s="31"/>
      <c r="G167" s="31"/>
      <c r="H167" s="31"/>
      <c r="L167" s="31"/>
      <c r="M167" s="31"/>
      <c r="N167" s="31"/>
      <c r="O167" s="31"/>
      <c r="Q167" s="204"/>
      <c r="R167" s="52"/>
      <c r="S167" s="21"/>
      <c r="T167" s="213"/>
      <c r="U167" s="217"/>
      <c r="V167" s="218"/>
      <c r="W167" s="224"/>
      <c r="AA167" s="31"/>
      <c r="AB167" s="31"/>
    </row>
    <row r="168" spans="1:28" ht="12.75">
      <c r="A168" s="269"/>
      <c r="B168" s="615"/>
      <c r="C168" s="31"/>
      <c r="D168" s="31"/>
      <c r="E168" s="31"/>
      <c r="F168" s="31"/>
      <c r="G168" s="31"/>
      <c r="H168" s="31"/>
      <c r="L168" s="31"/>
      <c r="M168" s="31"/>
      <c r="N168" s="31"/>
      <c r="O168" s="31"/>
      <c r="Q168" s="204"/>
      <c r="R168" s="52"/>
      <c r="S168" s="21"/>
      <c r="T168" s="214"/>
      <c r="U168" s="214"/>
      <c r="V168" s="218"/>
      <c r="W168" s="224"/>
      <c r="AA168" s="31"/>
      <c r="AB168" s="31"/>
    </row>
    <row r="169" spans="1:28" ht="12.75">
      <c r="A169" s="269"/>
      <c r="B169" s="614"/>
      <c r="C169" s="31"/>
      <c r="D169" s="31"/>
      <c r="E169" s="31"/>
      <c r="F169" s="31"/>
      <c r="G169" s="31"/>
      <c r="H169" s="31"/>
      <c r="J169" s="31"/>
      <c r="K169" s="31"/>
      <c r="L169" s="31"/>
      <c r="M169" s="31"/>
      <c r="N169" s="31"/>
      <c r="O169" s="31"/>
      <c r="Q169" s="204"/>
      <c r="R169" s="31"/>
      <c r="S169" s="31"/>
      <c r="T169" s="213"/>
      <c r="U169" s="217"/>
      <c r="V169" s="214"/>
      <c r="W169" s="214"/>
      <c r="AA169" s="31"/>
      <c r="AB169" s="31"/>
    </row>
    <row r="170" spans="1:28" ht="12.75">
      <c r="A170" s="31"/>
      <c r="B170" s="616"/>
      <c r="V170" s="325"/>
      <c r="W170" s="326"/>
      <c r="AA170" s="31"/>
      <c r="AB170" s="31"/>
    </row>
    <row r="171" spans="1:28" ht="12.75">
      <c r="A171" s="31"/>
      <c r="B171" s="101"/>
      <c r="C171" s="31"/>
      <c r="D171" s="31"/>
      <c r="E171" s="31"/>
      <c r="F171" s="31"/>
      <c r="G171" s="31"/>
      <c r="H171" s="31"/>
      <c r="J171" s="31"/>
      <c r="K171" s="31"/>
      <c r="L171" s="31"/>
      <c r="M171" s="31"/>
      <c r="N171" s="31"/>
      <c r="O171" s="31"/>
      <c r="Q171" s="31"/>
      <c r="R171" s="204"/>
      <c r="S171" s="203"/>
      <c r="T171" s="213"/>
      <c r="U171" s="217"/>
      <c r="V171" s="327"/>
      <c r="W171" s="218"/>
      <c r="AA171" s="31"/>
      <c r="AB171" s="31"/>
    </row>
    <row r="172" spans="1:28" ht="12.75" hidden="1">
      <c r="A172" s="577" t="s">
        <v>286</v>
      </c>
      <c r="B172" s="86"/>
      <c r="C172" s="31"/>
      <c r="D172" s="31"/>
      <c r="E172" s="31"/>
      <c r="F172" s="31"/>
      <c r="G172" s="31"/>
      <c r="H172" s="31"/>
      <c r="I172" s="86"/>
      <c r="J172" s="31"/>
      <c r="K172" s="31"/>
      <c r="L172" s="31"/>
      <c r="M172" s="31"/>
      <c r="N172" s="31"/>
      <c r="O172" s="31"/>
      <c r="Q172" s="52"/>
      <c r="R172" s="204"/>
      <c r="S172" s="203"/>
      <c r="T172" s="244"/>
      <c r="U172" s="31"/>
      <c r="V172" s="31"/>
      <c r="W172" s="328"/>
      <c r="X172" s="224"/>
      <c r="Y172" s="328"/>
      <c r="Z172" s="329"/>
      <c r="AA172" s="31"/>
      <c r="AB172" s="31"/>
    </row>
    <row r="173" spans="1:28" ht="12.75" hidden="1">
      <c r="A173" s="577" t="s">
        <v>286</v>
      </c>
      <c r="B173" s="86"/>
      <c r="I173" s="86"/>
      <c r="J173" s="31"/>
      <c r="K173" s="31"/>
      <c r="L173" s="31"/>
      <c r="M173" s="31"/>
      <c r="N173" s="31"/>
      <c r="O173" s="31"/>
      <c r="Q173" s="52"/>
      <c r="R173" s="31"/>
      <c r="S173" s="31"/>
      <c r="T173" s="31"/>
      <c r="U173" s="31"/>
      <c r="V173" s="31"/>
      <c r="W173" s="31"/>
      <c r="X173" s="31"/>
      <c r="Y173" s="31"/>
      <c r="Z173" s="31"/>
      <c r="AA173" s="31"/>
      <c r="AB173" s="31"/>
    </row>
    <row r="174" spans="1:28" ht="12.75" hidden="1">
      <c r="A174" s="577" t="s">
        <v>286</v>
      </c>
      <c r="B174" s="86"/>
      <c r="C174" s="31"/>
      <c r="D174" s="31"/>
      <c r="E174" s="31"/>
      <c r="F174" s="31"/>
      <c r="G174" s="31"/>
      <c r="H174" s="31"/>
      <c r="I174" s="86"/>
      <c r="J174" s="31"/>
      <c r="K174" s="31"/>
      <c r="L174" s="31"/>
      <c r="M174" s="31"/>
      <c r="N174" s="31"/>
      <c r="O174" s="31"/>
      <c r="Q174" s="31"/>
      <c r="R174" s="31"/>
      <c r="S174" s="31"/>
      <c r="T174" s="31"/>
      <c r="U174" s="31"/>
      <c r="V174" s="31"/>
      <c r="W174" s="31"/>
      <c r="X174" s="31"/>
      <c r="Y174" s="31"/>
      <c r="Z174" s="31"/>
      <c r="AA174" s="31"/>
      <c r="AB174" s="31"/>
    </row>
    <row r="175" spans="1:28" ht="12.75" hidden="1">
      <c r="A175" s="577" t="s">
        <v>286</v>
      </c>
      <c r="B175" s="77"/>
      <c r="I175" s="86"/>
      <c r="J175" s="31"/>
      <c r="K175" s="31"/>
      <c r="L175" s="40"/>
      <c r="M175" s="31"/>
      <c r="N175" s="31"/>
      <c r="O175" s="31"/>
      <c r="Q175" s="31"/>
      <c r="R175" s="31"/>
      <c r="S175" s="31"/>
      <c r="T175" s="31"/>
      <c r="U175" s="31"/>
      <c r="V175" s="31"/>
      <c r="W175" s="31"/>
      <c r="X175" s="31"/>
      <c r="Y175" s="31"/>
      <c r="Z175" s="31"/>
      <c r="AA175" s="31"/>
      <c r="AB175" s="31"/>
    </row>
    <row r="176" spans="1:28" ht="12.75" hidden="1">
      <c r="A176" s="577" t="s">
        <v>286</v>
      </c>
      <c r="B176" s="86"/>
      <c r="C176" s="31"/>
      <c r="D176" s="31"/>
      <c r="E176" s="31"/>
      <c r="F176" s="31"/>
      <c r="G176" s="31"/>
      <c r="H176" s="31"/>
      <c r="I176" s="86"/>
      <c r="J176" s="31"/>
      <c r="K176" s="31"/>
      <c r="L176" s="31"/>
      <c r="M176" s="31"/>
      <c r="N176" s="31"/>
      <c r="O176" s="31"/>
      <c r="Q176" s="31"/>
      <c r="R176" s="31"/>
      <c r="S176" s="31"/>
      <c r="T176" s="31"/>
      <c r="U176" s="31"/>
      <c r="V176" s="31"/>
      <c r="W176" s="31"/>
      <c r="X176" s="31"/>
      <c r="Y176" s="31"/>
      <c r="Z176" s="31"/>
      <c r="AA176" s="31"/>
      <c r="AB176" s="31"/>
    </row>
    <row r="177" spans="1:28" ht="12.75">
      <c r="A177" s="577"/>
      <c r="B177" s="31"/>
      <c r="C177" s="31"/>
      <c r="D177" s="31"/>
      <c r="E177" s="31"/>
      <c r="F177" s="31"/>
      <c r="G177" s="31"/>
      <c r="H177" s="31"/>
      <c r="I177" s="143"/>
      <c r="J177" s="31"/>
      <c r="K177" s="31"/>
      <c r="L177" s="31"/>
      <c r="M177" s="31"/>
      <c r="N177" s="31"/>
      <c r="O177" s="31"/>
      <c r="Q177" s="31"/>
      <c r="R177" s="31"/>
      <c r="S177" s="31"/>
      <c r="T177" s="31"/>
      <c r="U177" s="31"/>
      <c r="V177" s="31"/>
      <c r="W177" s="31"/>
      <c r="X177" s="31"/>
      <c r="Y177" s="31"/>
      <c r="Z177" s="31"/>
      <c r="AA177" s="31"/>
      <c r="AB177" s="31"/>
    </row>
    <row r="178" spans="1:28" ht="12.75">
      <c r="A178" s="31"/>
      <c r="B178" s="31"/>
      <c r="C178" s="31"/>
      <c r="D178" s="31"/>
      <c r="E178" s="31"/>
      <c r="F178" s="31"/>
      <c r="G178" s="31"/>
      <c r="H178" s="31"/>
      <c r="I178" s="143"/>
      <c r="J178" s="31"/>
      <c r="K178" s="31"/>
      <c r="L178" s="31"/>
      <c r="M178" s="31"/>
      <c r="N178" s="31"/>
      <c r="O178" s="31"/>
      <c r="Q178" s="31"/>
      <c r="R178" s="31"/>
      <c r="S178" s="31"/>
      <c r="T178" s="31"/>
      <c r="U178" s="31"/>
      <c r="V178" s="31"/>
      <c r="W178" s="31"/>
      <c r="X178" s="31"/>
      <c r="Y178" s="31"/>
      <c r="Z178" s="31"/>
      <c r="AA178" s="31"/>
      <c r="AB178" s="31"/>
    </row>
    <row r="179" spans="1:28" ht="12.75">
      <c r="A179" s="31"/>
      <c r="B179" s="31"/>
      <c r="C179" s="31"/>
      <c r="D179" s="31"/>
      <c r="E179" s="31"/>
      <c r="F179" s="31"/>
      <c r="G179" s="31"/>
      <c r="I179" s="31"/>
      <c r="J179" s="31"/>
      <c r="K179" s="31"/>
      <c r="L179" s="31"/>
      <c r="M179" s="31"/>
      <c r="N179" s="31"/>
      <c r="O179" s="31"/>
      <c r="Q179" s="31"/>
      <c r="R179" s="31"/>
      <c r="S179" s="31"/>
      <c r="T179" s="31"/>
      <c r="U179" s="31"/>
      <c r="V179" s="31"/>
      <c r="W179" s="31"/>
      <c r="X179" s="31"/>
      <c r="Y179" s="31"/>
      <c r="Z179" s="31"/>
      <c r="AA179" s="31"/>
      <c r="AB179" s="31"/>
    </row>
    <row r="180" spans="1:28" ht="12.75">
      <c r="A180" s="31"/>
      <c r="B180" s="31"/>
      <c r="C180" s="31"/>
      <c r="D180" s="31"/>
      <c r="E180" s="31"/>
      <c r="F180" s="31"/>
      <c r="G180" s="31"/>
      <c r="I180" s="31"/>
      <c r="J180" s="31"/>
      <c r="K180" s="31"/>
      <c r="L180" s="31"/>
      <c r="M180" s="31"/>
      <c r="N180" s="31"/>
      <c r="O180" s="31"/>
      <c r="Q180" s="31"/>
      <c r="R180" s="31"/>
      <c r="S180" s="31"/>
      <c r="T180" s="31"/>
      <c r="U180" s="31"/>
      <c r="V180" s="31"/>
      <c r="W180" s="31"/>
      <c r="X180" s="31"/>
      <c r="Y180" s="31"/>
      <c r="Z180" s="31"/>
      <c r="AA180" s="31"/>
      <c r="AB180" s="31"/>
    </row>
    <row r="181" spans="1:28" ht="12.75">
      <c r="A181" s="31"/>
      <c r="B181" s="31"/>
      <c r="C181" s="31"/>
      <c r="D181" s="31"/>
      <c r="E181" s="31"/>
      <c r="F181" s="31"/>
      <c r="G181" s="31"/>
      <c r="I181" s="31"/>
      <c r="J181" s="31"/>
      <c r="K181" s="31"/>
      <c r="L181" s="31"/>
      <c r="M181" s="31"/>
      <c r="N181" s="31"/>
      <c r="O181" s="31"/>
      <c r="Q181" s="31"/>
      <c r="R181" s="31"/>
      <c r="S181" s="31"/>
      <c r="T181" s="31"/>
      <c r="U181" s="31"/>
      <c r="V181" s="31"/>
      <c r="W181" s="31"/>
      <c r="X181" s="31"/>
      <c r="Y181" s="31"/>
      <c r="Z181" s="31"/>
      <c r="AA181" s="31"/>
      <c r="AB181" s="31"/>
    </row>
    <row r="182" spans="1:28" ht="12.75">
      <c r="A182" s="31"/>
      <c r="B182" s="31"/>
      <c r="C182" s="31"/>
      <c r="D182" s="31"/>
      <c r="E182" s="31"/>
      <c r="F182" s="31"/>
      <c r="G182" s="31"/>
      <c r="I182" s="31"/>
      <c r="J182" s="31"/>
      <c r="K182" s="31"/>
      <c r="L182" s="31"/>
      <c r="M182" s="31"/>
      <c r="N182" s="31"/>
      <c r="O182" s="31"/>
      <c r="Q182" s="31"/>
      <c r="R182" s="31"/>
      <c r="S182" s="31"/>
      <c r="T182" s="31"/>
      <c r="U182" s="31"/>
      <c r="V182" s="31"/>
      <c r="W182" s="31"/>
      <c r="X182" s="31"/>
      <c r="Y182" s="31"/>
      <c r="Z182" s="31"/>
      <c r="AA182" s="31"/>
      <c r="AB182" s="31"/>
    </row>
    <row r="183" spans="1:28" ht="12.75">
      <c r="A183" s="31"/>
      <c r="B183" s="31"/>
      <c r="C183" s="31"/>
      <c r="D183" s="31"/>
      <c r="E183" s="31"/>
      <c r="F183" s="31"/>
      <c r="G183" s="31"/>
      <c r="I183" s="31"/>
      <c r="J183" s="31"/>
      <c r="K183" s="31"/>
      <c r="L183" s="31"/>
      <c r="M183" s="31"/>
      <c r="N183" s="31"/>
      <c r="O183" s="31"/>
      <c r="Q183" s="31"/>
      <c r="R183" s="31"/>
      <c r="S183" s="31"/>
      <c r="T183" s="31"/>
      <c r="U183" s="31"/>
      <c r="V183" s="31"/>
      <c r="W183" s="31"/>
      <c r="X183" s="31"/>
      <c r="Y183" s="31"/>
      <c r="Z183" s="31"/>
      <c r="AA183" s="31"/>
      <c r="AB183" s="31"/>
    </row>
    <row r="184" spans="1:28" ht="12.75">
      <c r="A184" s="31"/>
      <c r="B184" s="31"/>
      <c r="I184" s="31"/>
      <c r="J184" s="31"/>
      <c r="K184" s="31"/>
      <c r="L184" s="31"/>
      <c r="M184" s="31"/>
      <c r="N184" s="31"/>
      <c r="O184" s="31"/>
      <c r="Q184" s="31"/>
      <c r="R184" s="31"/>
      <c r="S184" s="31"/>
      <c r="T184" s="31"/>
      <c r="U184" s="31"/>
      <c r="V184" s="31"/>
      <c r="W184" s="31"/>
      <c r="X184" s="31"/>
      <c r="Y184" s="31"/>
      <c r="Z184" s="31"/>
      <c r="AA184" s="31"/>
      <c r="AB184" s="31"/>
    </row>
    <row r="185" spans="1:28" ht="12.75">
      <c r="A185" s="31"/>
      <c r="B185" s="31"/>
      <c r="I185" s="31"/>
      <c r="J185" s="31"/>
      <c r="K185" s="31"/>
      <c r="L185" s="31"/>
      <c r="M185" s="31"/>
      <c r="N185" s="31"/>
      <c r="O185" s="31"/>
      <c r="Q185" s="31"/>
      <c r="R185" s="31"/>
      <c r="S185" s="31"/>
      <c r="T185" s="31"/>
      <c r="U185" s="31"/>
      <c r="V185" s="31"/>
      <c r="W185" s="31"/>
      <c r="X185" s="31"/>
      <c r="Y185" s="31"/>
      <c r="Z185" s="31"/>
      <c r="AA185" s="31"/>
      <c r="AB185" s="31"/>
    </row>
    <row r="186" spans="1:28" ht="12.75">
      <c r="A186" s="31"/>
      <c r="B186" s="31"/>
      <c r="I186" s="31"/>
      <c r="J186" s="31"/>
      <c r="K186" s="31"/>
      <c r="L186" s="31"/>
      <c r="M186" s="31"/>
      <c r="N186" s="31"/>
      <c r="O186" s="31"/>
      <c r="P186" s="31"/>
      <c r="Q186" s="31"/>
      <c r="R186" s="31"/>
      <c r="S186" s="31"/>
      <c r="T186" s="31"/>
      <c r="U186" s="31"/>
      <c r="V186" s="31"/>
      <c r="W186" s="31"/>
      <c r="X186" s="31"/>
      <c r="Y186" s="31"/>
      <c r="Z186" s="31"/>
      <c r="AA186" s="31"/>
      <c r="AB186" s="31"/>
    </row>
    <row r="187" spans="1:28" ht="12.75">
      <c r="A187" s="31"/>
      <c r="B187" s="31"/>
      <c r="I187" s="31"/>
      <c r="J187" s="31"/>
      <c r="K187" s="31"/>
      <c r="L187" s="31"/>
      <c r="M187" s="31"/>
      <c r="N187" s="31"/>
      <c r="O187" s="31"/>
      <c r="P187" s="31"/>
      <c r="Q187" s="31"/>
      <c r="R187" s="31"/>
      <c r="S187" s="31"/>
      <c r="T187" s="31"/>
      <c r="U187" s="31"/>
      <c r="V187" s="31"/>
      <c r="W187" s="31"/>
      <c r="X187" s="31"/>
      <c r="Y187" s="31"/>
      <c r="Z187" s="31"/>
      <c r="AA187" s="31"/>
      <c r="AB187" s="31"/>
    </row>
    <row r="188" spans="1:28" ht="12.75">
      <c r="A188" s="31"/>
      <c r="I188" s="31"/>
      <c r="J188" s="31"/>
      <c r="K188" s="31"/>
      <c r="L188" s="31"/>
      <c r="M188" s="31"/>
      <c r="N188" s="31"/>
      <c r="O188" s="31"/>
      <c r="P188" s="31"/>
      <c r="Q188" s="31"/>
      <c r="R188" s="31"/>
      <c r="S188" s="31"/>
      <c r="T188" s="31"/>
      <c r="U188" s="31"/>
      <c r="V188" s="31"/>
      <c r="W188" s="31"/>
      <c r="X188" s="31"/>
      <c r="Y188" s="31"/>
      <c r="Z188" s="31"/>
      <c r="AA188" s="31"/>
      <c r="AB188" s="31"/>
    </row>
    <row r="189" spans="1:28" ht="12.75">
      <c r="A189" s="31"/>
      <c r="B189" s="31"/>
      <c r="I189" s="31"/>
      <c r="J189" s="31"/>
      <c r="K189" s="31"/>
      <c r="L189" s="31"/>
      <c r="M189" s="31"/>
      <c r="N189" s="31"/>
      <c r="O189" s="31"/>
      <c r="P189" s="31"/>
      <c r="Q189" s="31"/>
      <c r="R189" s="31"/>
      <c r="S189" s="31"/>
      <c r="T189" s="31"/>
      <c r="U189" s="31"/>
      <c r="V189" s="31"/>
      <c r="W189" s="31"/>
      <c r="X189" s="31"/>
      <c r="Y189" s="31"/>
      <c r="Z189" s="31"/>
      <c r="AA189" s="31"/>
      <c r="AB189" s="31"/>
    </row>
    <row r="190" spans="16:28" ht="12.75">
      <c r="P190" s="31"/>
      <c r="Q190" s="31"/>
      <c r="R190" s="31"/>
      <c r="S190" s="31"/>
      <c r="T190" s="31"/>
      <c r="U190" s="31"/>
      <c r="V190" s="31"/>
      <c r="W190" s="31"/>
      <c r="X190" s="31"/>
      <c r="Y190" s="31"/>
      <c r="Z190" s="31"/>
      <c r="AA190" s="31"/>
      <c r="AB190" s="31"/>
    </row>
    <row r="191" spans="1:28" ht="12.75">
      <c r="A191" s="31"/>
      <c r="B191" s="31"/>
      <c r="I191" s="31"/>
      <c r="J191" s="31"/>
      <c r="K191" s="31"/>
      <c r="L191" s="31"/>
      <c r="M191" s="31"/>
      <c r="N191" s="31"/>
      <c r="O191" s="31"/>
      <c r="P191" s="31"/>
      <c r="Q191" s="31"/>
      <c r="R191" s="31"/>
      <c r="S191" s="31"/>
      <c r="T191" s="31"/>
      <c r="U191" s="31"/>
      <c r="V191" s="31"/>
      <c r="W191" s="31"/>
      <c r="X191" s="31"/>
      <c r="Y191" s="31"/>
      <c r="Z191" s="31"/>
      <c r="AA191" s="31"/>
      <c r="AB191" s="31"/>
    </row>
    <row r="192" spans="1:28" ht="12.75">
      <c r="A192" s="31"/>
      <c r="B192" s="31"/>
      <c r="I192" s="31"/>
      <c r="J192" s="31"/>
      <c r="K192" s="31"/>
      <c r="L192" s="31"/>
      <c r="M192" s="31"/>
      <c r="N192" s="31"/>
      <c r="O192" s="31"/>
      <c r="P192" s="31"/>
      <c r="Q192" s="31"/>
      <c r="R192" s="31"/>
      <c r="S192" s="31"/>
      <c r="T192" s="31"/>
      <c r="U192" s="31"/>
      <c r="V192" s="31"/>
      <c r="W192" s="31"/>
      <c r="X192" s="31"/>
      <c r="Y192" s="31"/>
      <c r="Z192" s="31"/>
      <c r="AA192" s="31"/>
      <c r="AB192" s="31"/>
    </row>
    <row r="193" spans="1:28" ht="12.75">
      <c r="A193" s="31"/>
      <c r="B193" s="31"/>
      <c r="I193" s="31"/>
      <c r="J193" s="31"/>
      <c r="K193" s="31"/>
      <c r="L193" s="31"/>
      <c r="M193" s="31"/>
      <c r="N193" s="31"/>
      <c r="O193" s="31"/>
      <c r="P193" s="31"/>
      <c r="Q193" s="31"/>
      <c r="R193" s="31"/>
      <c r="S193" s="31"/>
      <c r="T193" s="31"/>
      <c r="U193" s="31"/>
      <c r="V193" s="31"/>
      <c r="W193" s="31"/>
      <c r="X193" s="31"/>
      <c r="Y193" s="31"/>
      <c r="Z193" s="31"/>
      <c r="AA193" s="31"/>
      <c r="AB193" s="31"/>
    </row>
    <row r="194" spans="1:28" ht="12.75">
      <c r="A194" s="31"/>
      <c r="B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ht="12.75">
      <c r="A195" s="31"/>
      <c r="B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ht="12.75">
      <c r="A196" s="31"/>
      <c r="B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ht="12.75">
      <c r="A197" s="31"/>
      <c r="B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ht="12.75">
      <c r="A198" s="31"/>
      <c r="B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ht="12.7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ht="12.7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ht="12.7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ht="12.7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ht="12.7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ht="12.7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ht="12.7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ht="12.7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ht="12.7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ht="12.7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ht="12.7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9:28" ht="12.75">
      <c r="I210" s="31"/>
      <c r="J210" s="31"/>
      <c r="K210" s="31"/>
      <c r="L210" s="31"/>
      <c r="M210" s="31"/>
      <c r="N210" s="31"/>
      <c r="O210" s="31"/>
      <c r="P210" s="31"/>
      <c r="Q210" s="31"/>
      <c r="R210" s="31"/>
      <c r="S210" s="31"/>
      <c r="T210" s="31"/>
      <c r="U210" s="31"/>
      <c r="V210" s="31"/>
      <c r="W210" s="31"/>
      <c r="X210" s="31"/>
      <c r="Y210" s="31"/>
      <c r="Z210" s="31"/>
      <c r="AA210" s="31"/>
      <c r="AB210" s="31"/>
    </row>
    <row r="211" spans="9:28" ht="12.75">
      <c r="I211" s="31"/>
      <c r="J211" s="31"/>
      <c r="K211" s="31"/>
      <c r="L211" s="31"/>
      <c r="M211" s="31"/>
      <c r="N211" s="31"/>
      <c r="O211" s="31"/>
      <c r="P211" s="31"/>
      <c r="Q211" s="31"/>
      <c r="R211" s="31"/>
      <c r="S211" s="31"/>
      <c r="T211" s="31"/>
      <c r="U211" s="31"/>
      <c r="V211" s="31"/>
      <c r="W211" s="31"/>
      <c r="X211" s="31"/>
      <c r="Y211" s="31"/>
      <c r="Z211" s="31"/>
      <c r="AA211" s="31"/>
      <c r="AB211" s="31"/>
    </row>
    <row r="212" spans="9:28" ht="12.75">
      <c r="I212" s="31"/>
      <c r="J212" s="31"/>
      <c r="K212" s="31"/>
      <c r="L212" s="31"/>
      <c r="M212" s="31"/>
      <c r="N212" s="31"/>
      <c r="O212" s="31"/>
      <c r="P212" s="31"/>
      <c r="Q212" s="31"/>
      <c r="R212" s="31"/>
      <c r="S212" s="31"/>
      <c r="T212" s="31"/>
      <c r="U212" s="31"/>
      <c r="V212" s="31"/>
      <c r="W212" s="31"/>
      <c r="X212" s="31"/>
      <c r="Y212" s="31"/>
      <c r="Z212" s="31"/>
      <c r="AA212" s="31"/>
      <c r="AB212" s="31"/>
    </row>
  </sheetData>
  <sheetProtection/>
  <autoFilter ref="C8:H13"/>
  <hyperlinks>
    <hyperlink ref="A3" r:id="rId1" display="Kilder"/>
  </hyperlinks>
  <printOptions/>
  <pageMargins left="0.75" right="0.75" top="1" bottom="1" header="0" footer="0"/>
  <pageSetup horizontalDpi="300" verticalDpi="300" orientation="portrait" paperSize="9" r:id="rId4"/>
  <legacyDrawing r:id="rId3"/>
</worksheet>
</file>

<file path=xl/worksheets/sheet10.xml><?xml version="1.0" encoding="utf-8"?>
<worksheet xmlns="http://schemas.openxmlformats.org/spreadsheetml/2006/main" xmlns:r="http://schemas.openxmlformats.org/officeDocument/2006/relationships">
  <sheetPr>
    <tabColor theme="2" tint="-0.24997000396251678"/>
  </sheetPr>
  <dimension ref="A1:AW256"/>
  <sheetViews>
    <sheetView zoomScalePageLayoutView="0" workbookViewId="0" topLeftCell="A1">
      <selection activeCell="H27" sqref="H27"/>
    </sheetView>
  </sheetViews>
  <sheetFormatPr defaultColWidth="9.140625" defaultRowHeight="12.75"/>
  <cols>
    <col min="1" max="1" width="21.7109375" style="0" customWidth="1"/>
    <col min="2" max="2" width="22.28125" style="0" customWidth="1"/>
    <col min="3" max="3" width="17.28125" style="0" customWidth="1"/>
  </cols>
  <sheetData>
    <row r="1" spans="1:39" ht="14.25">
      <c r="A1" s="115" t="s">
        <v>336</v>
      </c>
      <c r="B1" s="1"/>
      <c r="C1" s="14"/>
      <c r="D1" s="154" t="s">
        <v>207</v>
      </c>
      <c r="E1" s="231"/>
      <c r="F1" s="231"/>
      <c r="G1" s="154" t="s">
        <v>199</v>
      </c>
      <c r="H1" s="232"/>
      <c r="I1" s="233"/>
      <c r="J1" s="234" t="s">
        <v>254</v>
      </c>
      <c r="M1" s="234" t="s">
        <v>229</v>
      </c>
      <c r="N1" s="231"/>
      <c r="O1" s="3"/>
      <c r="P1" s="129"/>
      <c r="Q1" s="160">
        <v>6.12</v>
      </c>
      <c r="R1" s="153">
        <f>M2</f>
        <v>6.83</v>
      </c>
      <c r="S1" s="142">
        <f>R1-Q1</f>
        <v>0.71</v>
      </c>
      <c r="T1" s="142">
        <f>S1/Q1</f>
        <v>0.11601307189542483</v>
      </c>
      <c r="U1" s="152"/>
      <c r="V1" s="152"/>
      <c r="W1" s="148">
        <f>AB1/R1</f>
        <v>2.9282576866742094</v>
      </c>
      <c r="X1" s="142">
        <f>C6</f>
        <v>2.7168236885469508</v>
      </c>
      <c r="Y1" s="142">
        <f>W1</f>
        <v>2.9282576866742094</v>
      </c>
      <c r="Z1" s="142">
        <f>X1-Y1</f>
        <v>-0.2114339981272586</v>
      </c>
      <c r="AA1" s="142">
        <f>Z1/25</f>
        <v>-0.008457359925090344</v>
      </c>
      <c r="AB1" s="142">
        <f>U2*AD2/AD1</f>
        <v>19.99999999998485</v>
      </c>
      <c r="AC1" s="152"/>
      <c r="AD1" s="439">
        <v>10</v>
      </c>
      <c r="AE1" s="439" t="s">
        <v>317</v>
      </c>
      <c r="AF1" s="440"/>
      <c r="AG1" s="158"/>
      <c r="AH1" s="1"/>
      <c r="AI1" s="1"/>
      <c r="AJ1" s="1"/>
      <c r="AK1" s="1"/>
      <c r="AL1" s="1"/>
      <c r="AM1" s="1"/>
    </row>
    <row r="2" spans="1:39" ht="15.75">
      <c r="A2" s="312" t="s">
        <v>392</v>
      </c>
      <c r="B2" s="235"/>
      <c r="C2" s="236"/>
      <c r="D2" s="207">
        <v>1.15</v>
      </c>
      <c r="E2" s="205" t="s">
        <v>194</v>
      </c>
      <c r="F2" s="205"/>
      <c r="G2" s="208">
        <v>18.36</v>
      </c>
      <c r="H2" s="206" t="s">
        <v>157</v>
      </c>
      <c r="I2" s="205"/>
      <c r="J2" s="208">
        <v>387.35</v>
      </c>
      <c r="K2" s="206" t="s">
        <v>255</v>
      </c>
      <c r="M2" s="207">
        <v>6.83</v>
      </c>
      <c r="N2" s="205" t="s">
        <v>227</v>
      </c>
      <c r="O2" s="157">
        <f>T1*100</f>
        <v>11.601307189542483</v>
      </c>
      <c r="P2" s="237" t="s">
        <v>230</v>
      </c>
      <c r="Q2" s="59"/>
      <c r="R2" s="152"/>
      <c r="S2" s="58">
        <v>369.41</v>
      </c>
      <c r="T2" s="160">
        <f>J2</f>
        <v>387.35</v>
      </c>
      <c r="U2" s="142">
        <f>20*S2/T2</f>
        <v>19.07370595069059</v>
      </c>
      <c r="V2" s="58"/>
      <c r="W2" s="58"/>
      <c r="X2" s="58"/>
      <c r="Y2" s="58"/>
      <c r="Z2" s="58"/>
      <c r="AA2" s="58"/>
      <c r="AB2" s="58"/>
      <c r="AC2" s="97"/>
      <c r="AD2" s="226">
        <v>10.4856392626</v>
      </c>
      <c r="AE2" s="49"/>
      <c r="AG2" s="1"/>
      <c r="AH2" s="1"/>
      <c r="AI2" s="1"/>
      <c r="AJ2" s="1"/>
      <c r="AK2" s="1"/>
      <c r="AL2" s="1"/>
      <c r="AM2" s="1"/>
    </row>
    <row r="3" spans="1:39" ht="13.5" thickBot="1">
      <c r="A3" s="336" t="s">
        <v>203</v>
      </c>
      <c r="B3" s="5"/>
      <c r="C3" s="24"/>
      <c r="D3" s="24"/>
      <c r="E3" s="24"/>
      <c r="F3" s="24"/>
      <c r="G3" s="24"/>
      <c r="H3" s="24"/>
      <c r="I3" s="24"/>
      <c r="J3" s="24"/>
      <c r="K3" s="24"/>
      <c r="L3" s="24"/>
      <c r="M3" s="24"/>
      <c r="N3" s="24"/>
      <c r="O3" s="24"/>
      <c r="P3" s="24"/>
      <c r="Q3" s="24"/>
      <c r="R3" s="24"/>
      <c r="S3" s="24"/>
      <c r="T3" s="24"/>
      <c r="U3" s="24"/>
      <c r="V3" s="24"/>
      <c r="W3" s="24"/>
      <c r="X3" s="4"/>
      <c r="Y3" s="1"/>
      <c r="Z3" s="1"/>
      <c r="AA3" s="1"/>
      <c r="AB3" s="1"/>
      <c r="AC3" s="1"/>
      <c r="AD3" s="1"/>
      <c r="AE3" s="1"/>
      <c r="AF3" s="1"/>
      <c r="AG3" s="1"/>
      <c r="AH3" s="1"/>
      <c r="AI3" s="1"/>
      <c r="AJ3" s="1"/>
      <c r="AK3" s="1"/>
      <c r="AL3" s="1"/>
      <c r="AM3" s="1"/>
    </row>
    <row r="4" spans="1:39" ht="12.75">
      <c r="A4" s="1"/>
      <c r="B4" s="1"/>
      <c r="C4" s="33">
        <v>2019</v>
      </c>
      <c r="D4" s="16">
        <v>2020</v>
      </c>
      <c r="E4" s="16">
        <v>2021</v>
      </c>
      <c r="F4" s="16">
        <v>2022</v>
      </c>
      <c r="G4" s="16">
        <v>2023</v>
      </c>
      <c r="H4" s="16">
        <v>2024</v>
      </c>
      <c r="I4" s="16">
        <v>2025</v>
      </c>
      <c r="J4" s="16">
        <v>2026</v>
      </c>
      <c r="K4" s="16">
        <v>2027</v>
      </c>
      <c r="L4" s="16">
        <v>2028</v>
      </c>
      <c r="M4" s="16">
        <v>2029</v>
      </c>
      <c r="N4" s="16">
        <v>2030</v>
      </c>
      <c r="O4" s="16">
        <v>2031</v>
      </c>
      <c r="P4" s="16">
        <v>2032</v>
      </c>
      <c r="Q4" s="16">
        <v>2033</v>
      </c>
      <c r="R4" s="16">
        <v>2034</v>
      </c>
      <c r="S4" s="16">
        <v>2035</v>
      </c>
      <c r="T4" s="16">
        <v>2036</v>
      </c>
      <c r="U4" s="16">
        <v>2037</v>
      </c>
      <c r="V4" s="16">
        <v>2038</v>
      </c>
      <c r="W4" s="16">
        <v>2039</v>
      </c>
      <c r="X4" s="537">
        <v>2040</v>
      </c>
      <c r="Y4" s="538">
        <v>2041</v>
      </c>
      <c r="Z4" s="538">
        <v>2042</v>
      </c>
      <c r="AA4" s="538">
        <v>2043</v>
      </c>
      <c r="AB4" s="539">
        <v>2044</v>
      </c>
      <c r="AC4" s="34"/>
      <c r="AE4" s="1"/>
      <c r="AF4" s="1"/>
      <c r="AG4" s="1"/>
      <c r="AH4" s="1"/>
      <c r="AI4" s="1"/>
      <c r="AJ4" s="1"/>
      <c r="AK4" s="1"/>
      <c r="AL4" s="1"/>
      <c r="AM4" s="1"/>
    </row>
    <row r="5" spans="1:39" ht="13.5" thickBot="1">
      <c r="A5" s="1"/>
      <c r="B5" s="123" t="s">
        <v>210</v>
      </c>
      <c r="C5" s="123" t="s">
        <v>210</v>
      </c>
      <c r="D5" s="3"/>
      <c r="E5" s="51"/>
      <c r="F5" s="51"/>
      <c r="G5" s="51"/>
      <c r="H5" s="51"/>
      <c r="I5" s="51"/>
      <c r="J5" s="51"/>
      <c r="K5" s="51"/>
      <c r="L5" s="44"/>
      <c r="M5" s="44"/>
      <c r="N5" s="44"/>
      <c r="O5" s="41"/>
      <c r="P5" s="41"/>
      <c r="Q5" s="41"/>
      <c r="R5" s="44"/>
      <c r="S5" s="44"/>
      <c r="T5" s="44"/>
      <c r="U5" s="44"/>
      <c r="V5" s="44"/>
      <c r="W5" s="41"/>
      <c r="X5" s="586"/>
      <c r="Y5" s="4"/>
      <c r="Z5" s="4"/>
      <c r="AA5" s="4"/>
      <c r="AB5" s="543"/>
      <c r="AC5" s="6"/>
      <c r="AD5" s="1"/>
      <c r="AE5" s="1"/>
      <c r="AF5" s="1"/>
      <c r="AG5" s="1"/>
      <c r="AH5" s="1"/>
      <c r="AI5" s="1"/>
      <c r="AJ5" s="1"/>
      <c r="AK5" s="1"/>
      <c r="AL5" s="1"/>
      <c r="AM5" s="1"/>
    </row>
    <row r="6" spans="1:39" ht="13.5" thickBot="1">
      <c r="A6" s="1"/>
      <c r="B6" s="96" t="str">
        <f>beregningsark!A30</f>
        <v>Albania</v>
      </c>
      <c r="C6" s="279">
        <f>D31</f>
        <v>2.7168236885469508</v>
      </c>
      <c r="D6" s="280">
        <f>C6-AA1</f>
        <v>2.7252810484720413</v>
      </c>
      <c r="E6" s="281">
        <f>D6-AA1</f>
        <v>2.733738408397132</v>
      </c>
      <c r="F6" s="281">
        <f>E6-AA1</f>
        <v>2.7421957683222224</v>
      </c>
      <c r="G6" s="281">
        <f>F6-AA1</f>
        <v>2.750653128247313</v>
      </c>
      <c r="H6" s="281">
        <f>G6-AA1</f>
        <v>2.7591104881724036</v>
      </c>
      <c r="I6" s="281">
        <f>H6-AA1</f>
        <v>2.767567848097494</v>
      </c>
      <c r="J6" s="281">
        <f>I6-AA1</f>
        <v>2.7760252080225847</v>
      </c>
      <c r="K6" s="281">
        <f>J6-AA1</f>
        <v>2.7844825679476752</v>
      </c>
      <c r="L6" s="281">
        <f>K6-AA1</f>
        <v>2.792939927872766</v>
      </c>
      <c r="M6" s="281">
        <f>L6-AA1</f>
        <v>2.8013972877978564</v>
      </c>
      <c r="N6" s="281">
        <f>M6-AA1</f>
        <v>2.809854647722947</v>
      </c>
      <c r="O6" s="281">
        <f>N6-AA1</f>
        <v>2.8183120076480375</v>
      </c>
      <c r="P6" s="281">
        <f>O6-AA1</f>
        <v>2.826769367573128</v>
      </c>
      <c r="Q6" s="281">
        <f>P6-AA1</f>
        <v>2.8352267274982186</v>
      </c>
      <c r="R6" s="281">
        <f>Q6-AA1</f>
        <v>2.843684087423309</v>
      </c>
      <c r="S6" s="281">
        <f>R6-AA1</f>
        <v>2.8521414473483997</v>
      </c>
      <c r="T6" s="281">
        <f>S6-AA1</f>
        <v>2.8605988072734903</v>
      </c>
      <c r="U6" s="281">
        <f>T6-AA1</f>
        <v>2.869056167198581</v>
      </c>
      <c r="V6" s="281">
        <f>U6-AA1</f>
        <v>2.8775135271236714</v>
      </c>
      <c r="W6" s="281">
        <f>V6-AA1</f>
        <v>2.885970887048762</v>
      </c>
      <c r="X6" s="587">
        <f>W6-AA1</f>
        <v>2.8944282469738525</v>
      </c>
      <c r="Y6" s="248">
        <f>X6-AA1</f>
        <v>2.902885606898943</v>
      </c>
      <c r="Z6" s="248">
        <f>Y6-AA1</f>
        <v>2.9113429668240336</v>
      </c>
      <c r="AA6" s="248">
        <f>Z6-AA1</f>
        <v>2.919800326749124</v>
      </c>
      <c r="AB6" s="588">
        <f>AA6-AA1</f>
        <v>2.9282576866742147</v>
      </c>
      <c r="AC6" s="103"/>
      <c r="AD6" s="1"/>
      <c r="AE6" s="1"/>
      <c r="AF6" s="1"/>
      <c r="AG6" s="1"/>
      <c r="AH6" s="1"/>
      <c r="AI6" s="1"/>
      <c r="AJ6" s="1"/>
      <c r="AK6" s="1"/>
      <c r="AL6" s="1"/>
      <c r="AM6" s="1"/>
    </row>
    <row r="7" spans="1:39" ht="12.75">
      <c r="A7" s="99"/>
      <c r="B7" s="102" t="s">
        <v>262</v>
      </c>
      <c r="C7" s="147">
        <f>E31/100</f>
        <v>-0.0045000000000000005</v>
      </c>
      <c r="D7" s="247">
        <f>D6*C7</f>
        <v>-0.012263764718124187</v>
      </c>
      <c r="E7" s="247">
        <f>E6*C7</f>
        <v>-0.012301822837787095</v>
      </c>
      <c r="F7" s="247">
        <f>F6*C7</f>
        <v>-0.012339880957450002</v>
      </c>
      <c r="G7" s="247">
        <f>G6*C7</f>
        <v>-0.01237793907711291</v>
      </c>
      <c r="H7" s="247">
        <f>H6*C7</f>
        <v>-0.012415997196775818</v>
      </c>
      <c r="I7" s="247">
        <f>I6*C7</f>
        <v>-0.012454055316438725</v>
      </c>
      <c r="J7" s="247">
        <f>J6*C7</f>
        <v>-0.012492113436101633</v>
      </c>
      <c r="K7" s="247">
        <f>K6*C7</f>
        <v>-0.01253017155576454</v>
      </c>
      <c r="L7" s="247">
        <f>L6*C7</f>
        <v>-0.012568229675427447</v>
      </c>
      <c r="M7" s="247">
        <f>M6*C7</f>
        <v>-0.012606287795090355</v>
      </c>
      <c r="N7" s="247">
        <f>N6*C7</f>
        <v>-0.012644345914753262</v>
      </c>
      <c r="O7" s="247">
        <f>O6*C7</f>
        <v>-0.01268240403441617</v>
      </c>
      <c r="P7" s="247">
        <f>P6*C7</f>
        <v>-0.012720462154079078</v>
      </c>
      <c r="Q7" s="247">
        <f>Q6*C7</f>
        <v>-0.012758520273741985</v>
      </c>
      <c r="R7" s="247">
        <f>R6*C7</f>
        <v>-0.012796578393404893</v>
      </c>
      <c r="S7" s="247">
        <f>S6*C7</f>
        <v>-0.0128346365130678</v>
      </c>
      <c r="T7" s="247">
        <f>T6*C7</f>
        <v>-0.012872694632730707</v>
      </c>
      <c r="U7" s="247">
        <f>U6*C7</f>
        <v>-0.012910752752393615</v>
      </c>
      <c r="V7" s="247">
        <f>V6*C7</f>
        <v>-0.012948810872056522</v>
      </c>
      <c r="W7" s="248">
        <f>W6*C7</f>
        <v>-0.012986868991719431</v>
      </c>
      <c r="X7" s="586"/>
      <c r="Y7" s="4"/>
      <c r="Z7" s="4"/>
      <c r="AA7" s="4"/>
      <c r="AB7" s="543"/>
      <c r="AC7" s="1"/>
      <c r="AD7" s="1"/>
      <c r="AE7" s="1"/>
      <c r="AF7" s="1"/>
      <c r="AG7" s="1"/>
      <c r="AH7" s="1"/>
      <c r="AI7" s="1"/>
      <c r="AJ7" s="1"/>
      <c r="AK7" s="1"/>
      <c r="AL7" s="1"/>
      <c r="AM7" s="1"/>
    </row>
    <row r="8" spans="1:39" ht="12.75">
      <c r="A8" s="100"/>
      <c r="B8" s="101" t="s">
        <v>193</v>
      </c>
      <c r="C8" s="109">
        <f>F31/500*-1</f>
        <v>-0.1529</v>
      </c>
      <c r="D8" s="247">
        <f>D6*C8</f>
        <v>-0.41669547231137516</v>
      </c>
      <c r="E8" s="247">
        <f>E6*C8</f>
        <v>-0.4179886026439215</v>
      </c>
      <c r="F8" s="247">
        <f>F6*C8</f>
        <v>-0.4192817329764678</v>
      </c>
      <c r="G8" s="247">
        <f>G6*C8</f>
        <v>-0.42057486330901417</v>
      </c>
      <c r="H8" s="247">
        <f>H6*C8</f>
        <v>-0.4218679936415605</v>
      </c>
      <c r="I8" s="247">
        <f>I6*C8</f>
        <v>-0.4231611239741069</v>
      </c>
      <c r="J8" s="247">
        <f>J6*C8</f>
        <v>-0.42445425430665323</v>
      </c>
      <c r="K8" s="247">
        <f>K6*C8</f>
        <v>-0.4257473846391996</v>
      </c>
      <c r="L8" s="247">
        <f>L6*C8</f>
        <v>-0.4270405149717459</v>
      </c>
      <c r="M8" s="247">
        <f>M6*C8</f>
        <v>-0.42833364530429224</v>
      </c>
      <c r="N8" s="247">
        <f>N6*C8</f>
        <v>-0.4296267756368386</v>
      </c>
      <c r="O8" s="247">
        <f>O6*C8</f>
        <v>-0.43091990596938495</v>
      </c>
      <c r="P8" s="247">
        <f>P6*C8</f>
        <v>-0.4322130363019313</v>
      </c>
      <c r="Q8" s="248">
        <f>Q6*C8</f>
        <v>-0.43350616663447766</v>
      </c>
      <c r="R8" s="248">
        <f>R6*C8</f>
        <v>-0.43479929696702396</v>
      </c>
      <c r="S8" s="248">
        <f>S6*C8</f>
        <v>-0.4360924272995703</v>
      </c>
      <c r="T8" s="248">
        <f>T6*C8</f>
        <v>-0.4373855576321167</v>
      </c>
      <c r="U8" s="248">
        <f>U6*C8</f>
        <v>-0.438678687964663</v>
      </c>
      <c r="V8" s="248">
        <f>V6*C8</f>
        <v>-0.4399718182972094</v>
      </c>
      <c r="W8" s="248">
        <f>W6*C8</f>
        <v>-0.44126494862975574</v>
      </c>
      <c r="X8" s="589"/>
      <c r="Y8" s="6"/>
      <c r="Z8" s="6"/>
      <c r="AA8" s="6"/>
      <c r="AB8" s="544"/>
      <c r="AC8" s="6"/>
      <c r="AD8" s="1"/>
      <c r="AE8" s="1"/>
      <c r="AF8" s="1"/>
      <c r="AG8" s="1"/>
      <c r="AH8" s="1"/>
      <c r="AI8" s="1"/>
      <c r="AJ8" s="1"/>
      <c r="AK8" s="1"/>
      <c r="AL8" s="1"/>
      <c r="AM8" s="1"/>
    </row>
    <row r="9" spans="2:39" ht="12.75">
      <c r="B9" s="101" t="s">
        <v>388</v>
      </c>
      <c r="C9" s="246">
        <f>G31/100*-1</f>
        <v>-0.00955</v>
      </c>
      <c r="D9" s="247">
        <f>D6*C9</f>
        <v>-0.02602643401290799</v>
      </c>
      <c r="E9" s="247">
        <f>E6*C9</f>
        <v>-0.026107201800192607</v>
      </c>
      <c r="F9" s="247">
        <f>F6*C9</f>
        <v>-0.02618796958747722</v>
      </c>
      <c r="G9" s="247">
        <f>G6*C9</f>
        <v>-0.026268737374761836</v>
      </c>
      <c r="H9" s="247">
        <f>H6*C9</f>
        <v>-0.02634950516204645</v>
      </c>
      <c r="I9" s="247">
        <f>I6*C9</f>
        <v>-0.026430272949331066</v>
      </c>
      <c r="J9" s="247">
        <f>J6*C9</f>
        <v>-0.02651104073661568</v>
      </c>
      <c r="K9" s="247">
        <f>K6*C9</f>
        <v>-0.026591808523900296</v>
      </c>
      <c r="L9" s="247">
        <f>L6*C9</f>
        <v>-0.02667257631118491</v>
      </c>
      <c r="M9" s="247">
        <f>M6*C9</f>
        <v>-0.026753344098469526</v>
      </c>
      <c r="N9" s="247">
        <f>N6*C9</f>
        <v>-0.02683411188575414</v>
      </c>
      <c r="O9" s="247">
        <f>O6*C9</f>
        <v>-0.026914879673038756</v>
      </c>
      <c r="P9" s="247">
        <f>P6*C9</f>
        <v>-0.02699564746032337</v>
      </c>
      <c r="Q9" s="247">
        <f>Q6*C9</f>
        <v>-0.027076415247607986</v>
      </c>
      <c r="R9" s="247">
        <f>R6*C9</f>
        <v>-0.0271571830348926</v>
      </c>
      <c r="S9" s="247">
        <f>S6*C9</f>
        <v>-0.027237950822177216</v>
      </c>
      <c r="T9" s="247">
        <f>T6*C9</f>
        <v>-0.02731871860946183</v>
      </c>
      <c r="U9" s="247">
        <f>U6*C9</f>
        <v>-0.027399486396746445</v>
      </c>
      <c r="V9" s="247">
        <f>V6*C9</f>
        <v>-0.02748025418403106</v>
      </c>
      <c r="W9" s="247">
        <f>W6*C9</f>
        <v>-0.027561021971315675</v>
      </c>
      <c r="X9" s="590"/>
      <c r="Y9" s="168"/>
      <c r="Z9" s="168"/>
      <c r="AA9" s="168"/>
      <c r="AB9" s="545"/>
      <c r="AJ9" s="1"/>
      <c r="AK9" s="1"/>
      <c r="AL9" s="1"/>
      <c r="AM9" s="1"/>
    </row>
    <row r="10" spans="2:40" ht="12.75">
      <c r="B10" s="101" t="s">
        <v>232</v>
      </c>
      <c r="C10" s="146">
        <f>(H31/B31*2.5)*-100000</f>
        <v>0</v>
      </c>
      <c r="D10" s="247">
        <f>C10</f>
        <v>0</v>
      </c>
      <c r="E10" s="247">
        <f aca="true" t="shared" si="0" ref="E10:W10">D10</f>
        <v>0</v>
      </c>
      <c r="F10" s="247">
        <f t="shared" si="0"/>
        <v>0</v>
      </c>
      <c r="G10" s="247">
        <f t="shared" si="0"/>
        <v>0</v>
      </c>
      <c r="H10" s="247">
        <f t="shared" si="0"/>
        <v>0</v>
      </c>
      <c r="I10" s="247">
        <f t="shared" si="0"/>
        <v>0</v>
      </c>
      <c r="J10" s="247">
        <f t="shared" si="0"/>
        <v>0</v>
      </c>
      <c r="K10" s="247">
        <f t="shared" si="0"/>
        <v>0</v>
      </c>
      <c r="L10" s="247">
        <f t="shared" si="0"/>
        <v>0</v>
      </c>
      <c r="M10" s="247">
        <f t="shared" si="0"/>
        <v>0</v>
      </c>
      <c r="N10" s="247">
        <f t="shared" si="0"/>
        <v>0</v>
      </c>
      <c r="O10" s="247">
        <f t="shared" si="0"/>
        <v>0</v>
      </c>
      <c r="P10" s="247">
        <f t="shared" si="0"/>
        <v>0</v>
      </c>
      <c r="Q10" s="247">
        <f t="shared" si="0"/>
        <v>0</v>
      </c>
      <c r="R10" s="247">
        <f t="shared" si="0"/>
        <v>0</v>
      </c>
      <c r="S10" s="247">
        <f t="shared" si="0"/>
        <v>0</v>
      </c>
      <c r="T10" s="247">
        <f t="shared" si="0"/>
        <v>0</v>
      </c>
      <c r="U10" s="247">
        <f t="shared" si="0"/>
        <v>0</v>
      </c>
      <c r="V10" s="247">
        <f t="shared" si="0"/>
        <v>0</v>
      </c>
      <c r="W10" s="248">
        <f t="shared" si="0"/>
        <v>0</v>
      </c>
      <c r="X10" s="589"/>
      <c r="Y10" s="6"/>
      <c r="Z10" s="6"/>
      <c r="AA10" s="6"/>
      <c r="AB10" s="544"/>
      <c r="AC10" s="6"/>
      <c r="AD10" s="1"/>
      <c r="AE10" s="1"/>
      <c r="AF10" s="1"/>
      <c r="AG10" s="1"/>
      <c r="AH10" s="1"/>
      <c r="AI10" s="1"/>
      <c r="AJ10" s="28"/>
      <c r="AK10" s="28"/>
      <c r="AL10" s="28"/>
      <c r="AM10" s="28"/>
      <c r="AN10" s="28"/>
    </row>
    <row r="11" spans="1:49" ht="14.25">
      <c r="A11" s="93"/>
      <c r="B11" s="116" t="s">
        <v>215</v>
      </c>
      <c r="C11" s="17"/>
      <c r="D11" s="282">
        <f aca="true" t="shared" si="1" ref="D11:W11">SUM(D6:D10)</f>
        <v>2.2702953774296337</v>
      </c>
      <c r="E11" s="282">
        <f t="shared" si="1"/>
        <v>2.2773407811152304</v>
      </c>
      <c r="F11" s="282">
        <f t="shared" si="1"/>
        <v>2.2843861848008276</v>
      </c>
      <c r="G11" s="282">
        <f t="shared" si="1"/>
        <v>2.2914315884864243</v>
      </c>
      <c r="H11" s="282">
        <f t="shared" si="1"/>
        <v>2.298476992172021</v>
      </c>
      <c r="I11" s="282">
        <f t="shared" si="1"/>
        <v>2.3055223958576176</v>
      </c>
      <c r="J11" s="282">
        <f t="shared" si="1"/>
        <v>2.312567799543214</v>
      </c>
      <c r="K11" s="282">
        <f t="shared" si="1"/>
        <v>2.319613203228811</v>
      </c>
      <c r="L11" s="282">
        <f t="shared" si="1"/>
        <v>2.3266586069144073</v>
      </c>
      <c r="M11" s="282">
        <f t="shared" si="1"/>
        <v>2.3337040106000044</v>
      </c>
      <c r="N11" s="282">
        <f t="shared" si="1"/>
        <v>2.340749414285601</v>
      </c>
      <c r="O11" s="282">
        <f t="shared" si="1"/>
        <v>2.3477948179711974</v>
      </c>
      <c r="P11" s="282">
        <f t="shared" si="1"/>
        <v>2.354840221656794</v>
      </c>
      <c r="Q11" s="282">
        <f t="shared" si="1"/>
        <v>2.3618856253423908</v>
      </c>
      <c r="R11" s="282">
        <f t="shared" si="1"/>
        <v>2.368931029027988</v>
      </c>
      <c r="S11" s="282">
        <f t="shared" si="1"/>
        <v>2.375976432713584</v>
      </c>
      <c r="T11" s="282">
        <f t="shared" si="1"/>
        <v>2.383021836399181</v>
      </c>
      <c r="U11" s="282">
        <f t="shared" si="1"/>
        <v>2.390067240084778</v>
      </c>
      <c r="V11" s="282">
        <f t="shared" si="1"/>
        <v>2.3971126437703747</v>
      </c>
      <c r="W11" s="282">
        <f t="shared" si="1"/>
        <v>2.4041580474559705</v>
      </c>
      <c r="X11" s="589"/>
      <c r="Y11" s="6"/>
      <c r="Z11" s="6"/>
      <c r="AA11" s="6"/>
      <c r="AB11" s="544"/>
      <c r="AC11" s="6"/>
      <c r="AD11" s="1"/>
      <c r="AE11" s="1"/>
      <c r="AF11" s="1"/>
      <c r="AG11" s="1"/>
      <c r="AH11" s="1"/>
      <c r="AI11" s="1"/>
      <c r="AJ11" s="29"/>
      <c r="AK11" s="29"/>
      <c r="AL11" s="29"/>
      <c r="AM11" s="29"/>
      <c r="AN11" s="29"/>
      <c r="AO11" s="28"/>
      <c r="AP11" s="28"/>
      <c r="AQ11" s="28"/>
      <c r="AR11" s="28"/>
      <c r="AS11" s="28"/>
      <c r="AT11" s="28"/>
      <c r="AU11" s="28"/>
      <c r="AV11" s="28"/>
      <c r="AW11" s="29"/>
    </row>
    <row r="12" spans="1:49" ht="12.75">
      <c r="A12" s="1"/>
      <c r="B12" s="10"/>
      <c r="C12" s="10"/>
      <c r="D12" s="283" t="s">
        <v>213</v>
      </c>
      <c r="E12" s="283" t="s">
        <v>213</v>
      </c>
      <c r="F12" s="283" t="s">
        <v>213</v>
      </c>
      <c r="G12" s="283" t="s">
        <v>213</v>
      </c>
      <c r="H12" s="283" t="s">
        <v>213</v>
      </c>
      <c r="I12" s="283" t="s">
        <v>213</v>
      </c>
      <c r="J12" s="283" t="s">
        <v>213</v>
      </c>
      <c r="K12" s="283" t="s">
        <v>213</v>
      </c>
      <c r="L12" s="283" t="s">
        <v>213</v>
      </c>
      <c r="M12" s="283" t="s">
        <v>213</v>
      </c>
      <c r="N12" s="283" t="s">
        <v>213</v>
      </c>
      <c r="O12" s="283" t="s">
        <v>213</v>
      </c>
      <c r="P12" s="283" t="s">
        <v>213</v>
      </c>
      <c r="Q12" s="283" t="s">
        <v>213</v>
      </c>
      <c r="R12" s="283" t="s">
        <v>213</v>
      </c>
      <c r="S12" s="283" t="s">
        <v>213</v>
      </c>
      <c r="T12" s="283" t="s">
        <v>213</v>
      </c>
      <c r="U12" s="283" t="s">
        <v>213</v>
      </c>
      <c r="V12" s="283" t="s">
        <v>213</v>
      </c>
      <c r="W12" s="585" t="s">
        <v>213</v>
      </c>
      <c r="X12" s="591"/>
      <c r="Y12" s="41"/>
      <c r="Z12" s="41"/>
      <c r="AA12" s="41"/>
      <c r="AB12" s="546"/>
      <c r="AC12" s="6"/>
      <c r="AD12" s="28"/>
      <c r="AE12" s="28"/>
      <c r="AF12" s="28"/>
      <c r="AG12" s="28"/>
      <c r="AH12" s="28"/>
      <c r="AI12" s="28"/>
      <c r="AJ12" s="1"/>
      <c r="AK12" s="1"/>
      <c r="AL12" s="1"/>
      <c r="AM12" s="1"/>
      <c r="AO12" s="29"/>
      <c r="AP12" s="29"/>
      <c r="AQ12" s="29"/>
      <c r="AR12" s="29"/>
      <c r="AS12" s="29"/>
      <c r="AT12" s="29"/>
      <c r="AU12" s="29"/>
      <c r="AV12" s="29"/>
      <c r="AW12" s="29"/>
    </row>
    <row r="13" spans="1:39" ht="14.25">
      <c r="A13" s="117"/>
      <c r="B13" s="112" t="s">
        <v>237</v>
      </c>
      <c r="C13" s="35"/>
      <c r="D13" s="284">
        <f aca="true" t="shared" si="2" ref="D13:W13">D11</f>
        <v>2.2702953774296337</v>
      </c>
      <c r="E13" s="284">
        <f t="shared" si="2"/>
        <v>2.2773407811152304</v>
      </c>
      <c r="F13" s="284">
        <f t="shared" si="2"/>
        <v>2.2843861848008276</v>
      </c>
      <c r="G13" s="284">
        <f t="shared" si="2"/>
        <v>2.2914315884864243</v>
      </c>
      <c r="H13" s="284">
        <f t="shared" si="2"/>
        <v>2.298476992172021</v>
      </c>
      <c r="I13" s="284">
        <f t="shared" si="2"/>
        <v>2.3055223958576176</v>
      </c>
      <c r="J13" s="284">
        <f t="shared" si="2"/>
        <v>2.312567799543214</v>
      </c>
      <c r="K13" s="284">
        <f t="shared" si="2"/>
        <v>2.319613203228811</v>
      </c>
      <c r="L13" s="284">
        <f t="shared" si="2"/>
        <v>2.3266586069144073</v>
      </c>
      <c r="M13" s="284">
        <f t="shared" si="2"/>
        <v>2.3337040106000044</v>
      </c>
      <c r="N13" s="284">
        <f t="shared" si="2"/>
        <v>2.340749414285601</v>
      </c>
      <c r="O13" s="284">
        <f>O11</f>
        <v>2.3477948179711974</v>
      </c>
      <c r="P13" s="284">
        <f t="shared" si="2"/>
        <v>2.354840221656794</v>
      </c>
      <c r="Q13" s="284">
        <f t="shared" si="2"/>
        <v>2.3618856253423908</v>
      </c>
      <c r="R13" s="284">
        <f t="shared" si="2"/>
        <v>2.368931029027988</v>
      </c>
      <c r="S13" s="284">
        <f t="shared" si="2"/>
        <v>2.375976432713584</v>
      </c>
      <c r="T13" s="284">
        <f t="shared" si="2"/>
        <v>2.383021836399181</v>
      </c>
      <c r="U13" s="284">
        <f t="shared" si="2"/>
        <v>2.390067240084778</v>
      </c>
      <c r="V13" s="284">
        <f t="shared" si="2"/>
        <v>2.3971126437703747</v>
      </c>
      <c r="W13" s="284">
        <f t="shared" si="2"/>
        <v>2.4041580474559705</v>
      </c>
      <c r="X13" s="592"/>
      <c r="Y13" s="4"/>
      <c r="Z13" s="4"/>
      <c r="AA13" s="4"/>
      <c r="AB13" s="543"/>
      <c r="AC13" s="4"/>
      <c r="AD13" s="1"/>
      <c r="AE13" s="1"/>
      <c r="AF13" s="1"/>
      <c r="AG13" s="1"/>
      <c r="AH13" s="1"/>
      <c r="AI13" s="29"/>
      <c r="AJ13" s="1"/>
      <c r="AK13" s="1"/>
      <c r="AL13" s="1"/>
      <c r="AM13" s="1"/>
    </row>
    <row r="14" spans="1:39" ht="13.5">
      <c r="A14" s="39"/>
      <c r="B14" s="101" t="s">
        <v>216</v>
      </c>
      <c r="C14" s="32"/>
      <c r="D14" s="248">
        <f aca="true" t="shared" si="3" ref="D14:W14">D13-D11</f>
        <v>0</v>
      </c>
      <c r="E14" s="248">
        <f t="shared" si="3"/>
        <v>0</v>
      </c>
      <c r="F14" s="248">
        <f t="shared" si="3"/>
        <v>0</v>
      </c>
      <c r="G14" s="248">
        <f t="shared" si="3"/>
        <v>0</v>
      </c>
      <c r="H14" s="248">
        <f t="shared" si="3"/>
        <v>0</v>
      </c>
      <c r="I14" s="248">
        <f t="shared" si="3"/>
        <v>0</v>
      </c>
      <c r="J14" s="248">
        <f t="shared" si="3"/>
        <v>0</v>
      </c>
      <c r="K14" s="248">
        <f t="shared" si="3"/>
        <v>0</v>
      </c>
      <c r="L14" s="248">
        <f t="shared" si="3"/>
        <v>0</v>
      </c>
      <c r="M14" s="248">
        <f t="shared" si="3"/>
        <v>0</v>
      </c>
      <c r="N14" s="248">
        <f t="shared" si="3"/>
        <v>0</v>
      </c>
      <c r="O14" s="248">
        <f t="shared" si="3"/>
        <v>0</v>
      </c>
      <c r="P14" s="248">
        <f t="shared" si="3"/>
        <v>0</v>
      </c>
      <c r="Q14" s="248">
        <f t="shared" si="3"/>
        <v>0</v>
      </c>
      <c r="R14" s="248">
        <f t="shared" si="3"/>
        <v>0</v>
      </c>
      <c r="S14" s="248">
        <f t="shared" si="3"/>
        <v>0</v>
      </c>
      <c r="T14" s="248">
        <f t="shared" si="3"/>
        <v>0</v>
      </c>
      <c r="U14" s="248">
        <f t="shared" si="3"/>
        <v>0</v>
      </c>
      <c r="V14" s="248">
        <f t="shared" si="3"/>
        <v>0</v>
      </c>
      <c r="W14" s="248">
        <f t="shared" si="3"/>
        <v>0</v>
      </c>
      <c r="X14" s="593">
        <f>SUM(D14:W14)</f>
        <v>0</v>
      </c>
      <c r="Y14" s="22"/>
      <c r="Z14" s="22"/>
      <c r="AA14" s="22"/>
      <c r="AB14" s="549"/>
      <c r="AC14" s="22"/>
      <c r="AD14" s="1"/>
      <c r="AE14" s="1"/>
      <c r="AF14" s="1"/>
      <c r="AG14" s="1"/>
      <c r="AH14" s="1"/>
      <c r="AI14" s="1"/>
      <c r="AJ14" s="1"/>
      <c r="AK14" s="1"/>
      <c r="AL14" s="1"/>
      <c r="AM14" s="1"/>
    </row>
    <row r="15" spans="1:39" ht="12.75">
      <c r="A15" s="1"/>
      <c r="B15" s="102"/>
      <c r="C15" s="110" t="s">
        <v>294</v>
      </c>
      <c r="D15" s="18"/>
      <c r="E15" s="1"/>
      <c r="F15" s="1"/>
      <c r="G15" s="1"/>
      <c r="H15" s="1"/>
      <c r="I15" s="1"/>
      <c r="J15" s="1"/>
      <c r="K15" s="1"/>
      <c r="L15" s="1"/>
      <c r="M15" s="1"/>
      <c r="N15" s="1"/>
      <c r="O15" s="1"/>
      <c r="P15" s="1"/>
      <c r="Q15" s="4"/>
      <c r="R15" s="4"/>
      <c r="S15" s="4"/>
      <c r="T15" s="4"/>
      <c r="U15" s="4"/>
      <c r="V15" s="6"/>
      <c r="W15" s="4"/>
      <c r="X15" s="586"/>
      <c r="Y15" s="52"/>
      <c r="Z15" s="4"/>
      <c r="AA15" s="4"/>
      <c r="AB15" s="543"/>
      <c r="AC15" s="4"/>
      <c r="AD15" s="1"/>
      <c r="AE15" s="1"/>
      <c r="AF15" s="1"/>
      <c r="AG15" s="1"/>
      <c r="AH15" s="1"/>
      <c r="AI15" s="1"/>
      <c r="AJ15" s="1"/>
      <c r="AK15" s="1"/>
      <c r="AL15" s="1"/>
      <c r="AM15" s="1"/>
    </row>
    <row r="16" spans="1:39" ht="12.75">
      <c r="A16" s="1"/>
      <c r="B16" s="102" t="s">
        <v>214</v>
      </c>
      <c r="C16" s="111">
        <f>(I31*D2*G2)/20000</f>
        <v>5.39585865</v>
      </c>
      <c r="D16" s="173">
        <f>D14*C16</f>
        <v>0</v>
      </c>
      <c r="E16" s="173">
        <f>E14*C16</f>
        <v>0</v>
      </c>
      <c r="F16" s="173">
        <f>F14*C16</f>
        <v>0</v>
      </c>
      <c r="G16" s="173">
        <f>G14*C16</f>
        <v>0</v>
      </c>
      <c r="H16" s="173">
        <f>H14*C16</f>
        <v>0</v>
      </c>
      <c r="I16" s="173">
        <f>I14*C16</f>
        <v>0</v>
      </c>
      <c r="J16" s="173">
        <f>J14*C16</f>
        <v>0</v>
      </c>
      <c r="K16" s="173">
        <f>K14*C16</f>
        <v>0</v>
      </c>
      <c r="L16" s="173">
        <f>L14*C16</f>
        <v>0</v>
      </c>
      <c r="M16" s="173">
        <f>M14*C16</f>
        <v>0</v>
      </c>
      <c r="N16" s="173">
        <f>N14*C16</f>
        <v>0</v>
      </c>
      <c r="O16" s="173">
        <f>O14*C16</f>
        <v>0</v>
      </c>
      <c r="P16" s="173">
        <f>P14*C16</f>
        <v>0</v>
      </c>
      <c r="Q16" s="174">
        <f>Q14*C16</f>
        <v>0</v>
      </c>
      <c r="R16" s="174">
        <f>R14*C16</f>
        <v>0</v>
      </c>
      <c r="S16" s="174">
        <f>S14*C16</f>
        <v>0</v>
      </c>
      <c r="T16" s="174">
        <f>T14*C16</f>
        <v>0</v>
      </c>
      <c r="U16" s="174">
        <f>U14*C16</f>
        <v>0</v>
      </c>
      <c r="V16" s="174">
        <f>V14*C16</f>
        <v>0</v>
      </c>
      <c r="W16" s="174">
        <f>W14*C16</f>
        <v>0</v>
      </c>
      <c r="X16" s="586"/>
      <c r="Y16" s="52"/>
      <c r="Z16" s="4"/>
      <c r="AA16" s="4"/>
      <c r="AB16" s="543"/>
      <c r="AC16" s="4"/>
      <c r="AD16" s="1"/>
      <c r="AE16" s="1"/>
      <c r="AF16" s="1"/>
      <c r="AG16" s="1"/>
      <c r="AH16" s="1"/>
      <c r="AI16" s="1"/>
      <c r="AJ16" s="1"/>
      <c r="AK16" s="1"/>
      <c r="AL16" s="1"/>
      <c r="AM16" s="1"/>
    </row>
    <row r="17" spans="1:39" ht="13.5" thickBot="1">
      <c r="A17" s="1"/>
      <c r="B17" s="102" t="s">
        <v>256</v>
      </c>
      <c r="C17" s="1"/>
      <c r="D17" s="195">
        <f>D16</f>
        <v>0</v>
      </c>
      <c r="E17" s="173">
        <f>D17+E16</f>
        <v>0</v>
      </c>
      <c r="F17" s="173">
        <f>E17+F16</f>
        <v>0</v>
      </c>
      <c r="G17" s="173">
        <f>F17+G16</f>
        <v>0</v>
      </c>
      <c r="H17" s="173">
        <f>G17+H16</f>
        <v>0</v>
      </c>
      <c r="I17" s="173">
        <f aca="true" t="shared" si="4" ref="I17:W17">H17+I16</f>
        <v>0</v>
      </c>
      <c r="J17" s="173">
        <f t="shared" si="4"/>
        <v>0</v>
      </c>
      <c r="K17" s="173">
        <f t="shared" si="4"/>
        <v>0</v>
      </c>
      <c r="L17" s="173">
        <f t="shared" si="4"/>
        <v>0</v>
      </c>
      <c r="M17" s="173">
        <f t="shared" si="4"/>
        <v>0</v>
      </c>
      <c r="N17" s="173">
        <f t="shared" si="4"/>
        <v>0</v>
      </c>
      <c r="O17" s="173">
        <f t="shared" si="4"/>
        <v>0</v>
      </c>
      <c r="P17" s="173">
        <f t="shared" si="4"/>
        <v>0</v>
      </c>
      <c r="Q17" s="173">
        <f t="shared" si="4"/>
        <v>0</v>
      </c>
      <c r="R17" s="173">
        <f t="shared" si="4"/>
        <v>0</v>
      </c>
      <c r="S17" s="173">
        <f t="shared" si="4"/>
        <v>0</v>
      </c>
      <c r="T17" s="173">
        <f t="shared" si="4"/>
        <v>0</v>
      </c>
      <c r="U17" s="173">
        <f t="shared" si="4"/>
        <v>0</v>
      </c>
      <c r="V17" s="173">
        <f t="shared" si="4"/>
        <v>0</v>
      </c>
      <c r="W17" s="175">
        <f t="shared" si="4"/>
        <v>0</v>
      </c>
      <c r="X17" s="594"/>
      <c r="Y17" s="554"/>
      <c r="Z17" s="553"/>
      <c r="AA17" s="553"/>
      <c r="AB17" s="555"/>
      <c r="AC17" s="1"/>
      <c r="AD17" s="1"/>
      <c r="AE17" s="1"/>
      <c r="AF17" s="1"/>
      <c r="AG17" s="1"/>
      <c r="AH17" s="1"/>
      <c r="AI17" s="1"/>
      <c r="AJ17" s="1"/>
      <c r="AK17" s="1"/>
      <c r="AL17" s="1"/>
      <c r="AM17" s="1"/>
    </row>
    <row r="18" spans="1:39" ht="12.75">
      <c r="A18" s="1"/>
      <c r="B18" s="1"/>
      <c r="C18" s="1"/>
      <c r="D18" s="1"/>
      <c r="E18" s="1"/>
      <c r="F18" s="1"/>
      <c r="G18" s="1"/>
      <c r="H18" s="1"/>
      <c r="I18" s="1"/>
      <c r="J18" s="1"/>
      <c r="K18" s="1"/>
      <c r="L18" s="1"/>
      <c r="M18" s="1"/>
      <c r="N18" s="1"/>
      <c r="O18" s="1"/>
      <c r="P18" s="1"/>
      <c r="Q18" s="1"/>
      <c r="R18" s="1"/>
      <c r="S18" s="1"/>
      <c r="T18" s="1"/>
      <c r="U18" s="1"/>
      <c r="V18" s="1"/>
      <c r="W18" s="1"/>
      <c r="X18" s="26"/>
      <c r="Y18" s="106" t="s">
        <v>204</v>
      </c>
      <c r="Z18" s="122"/>
      <c r="AA18" s="122"/>
      <c r="AB18" s="26"/>
      <c r="AC18" s="26"/>
      <c r="AD18" s="1"/>
      <c r="AE18" s="1"/>
      <c r="AF18" s="1"/>
      <c r="AG18" s="1"/>
      <c r="AH18" s="1"/>
      <c r="AI18" s="1"/>
      <c r="AJ18" s="1"/>
      <c r="AK18" s="1"/>
      <c r="AL18" s="1"/>
      <c r="AM18" s="1"/>
    </row>
    <row r="19" spans="1:39" ht="12.75">
      <c r="A19" s="359" t="str">
        <f>beregningsark!A30</f>
        <v>Albania</v>
      </c>
      <c r="B19" s="184">
        <v>2020</v>
      </c>
      <c r="C19" s="177">
        <v>2039</v>
      </c>
      <c r="D19" s="1"/>
      <c r="E19" s="1"/>
      <c r="F19" s="1"/>
      <c r="G19" s="1"/>
      <c r="H19" s="1"/>
      <c r="I19" s="1"/>
      <c r="J19" s="1"/>
      <c r="K19" s="3"/>
      <c r="L19" s="3"/>
      <c r="M19" s="41"/>
      <c r="N19" s="41"/>
      <c r="O19" s="41"/>
      <c r="P19" s="41"/>
      <c r="Q19" s="41"/>
      <c r="R19" s="3"/>
      <c r="S19" s="42"/>
      <c r="T19" s="42"/>
      <c r="U19" s="42"/>
      <c r="V19" s="38"/>
      <c r="W19" s="38"/>
      <c r="X19" s="38"/>
      <c r="Y19" s="43"/>
      <c r="Z19" s="1"/>
      <c r="AA19" s="38"/>
      <c r="AB19" s="38"/>
      <c r="AC19" s="38"/>
      <c r="AD19" s="3"/>
      <c r="AE19" s="1"/>
      <c r="AF19" s="1"/>
      <c r="AG19" s="1"/>
      <c r="AH19" s="1"/>
      <c r="AI19" s="1"/>
      <c r="AJ19" s="1"/>
      <c r="AK19" s="1"/>
      <c r="AL19" s="1"/>
      <c r="AM19" s="1"/>
    </row>
    <row r="20" spans="1:39" ht="12.75">
      <c r="A20" s="185" t="s">
        <v>320</v>
      </c>
      <c r="B20" s="186">
        <f>C31*C16</f>
        <v>3.2118552761622574</v>
      </c>
      <c r="C20" s="194">
        <f>B20</f>
        <v>3.2118552761622574</v>
      </c>
      <c r="D20" s="1"/>
      <c r="E20" s="1"/>
      <c r="F20" s="55"/>
      <c r="G20" s="1"/>
      <c r="H20" s="1"/>
      <c r="I20" s="1"/>
      <c r="J20" s="1"/>
      <c r="K20" s="1"/>
      <c r="L20" s="1"/>
      <c r="M20" s="54"/>
      <c r="N20" s="54"/>
      <c r="O20" s="54"/>
      <c r="P20" s="54"/>
      <c r="Q20" s="54"/>
      <c r="R20" s="54"/>
      <c r="S20" s="54"/>
      <c r="T20" s="54"/>
      <c r="U20" s="54"/>
      <c r="V20" s="54"/>
      <c r="W20" s="54"/>
      <c r="X20" s="54"/>
      <c r="Y20" s="54"/>
      <c r="Z20" s="54"/>
      <c r="AA20" s="54"/>
      <c r="AB20" s="54"/>
      <c r="AC20" s="54"/>
      <c r="AD20" s="54"/>
      <c r="AE20" s="54"/>
      <c r="AF20" s="54"/>
      <c r="AG20" s="54"/>
      <c r="AH20" s="54"/>
      <c r="AI20" s="54"/>
      <c r="AJ20" s="1"/>
      <c r="AK20" s="1"/>
      <c r="AL20" s="1"/>
      <c r="AM20" s="1"/>
    </row>
    <row r="21" spans="1:39" ht="12.75">
      <c r="A21" s="187" t="s">
        <v>214</v>
      </c>
      <c r="B21" s="188">
        <f>D17</f>
        <v>0</v>
      </c>
      <c r="C21" s="178">
        <f>W17</f>
        <v>0</v>
      </c>
      <c r="D21" s="6"/>
      <c r="E21" s="11"/>
      <c r="F21" s="55"/>
      <c r="G21" s="8"/>
      <c r="H21" s="9"/>
      <c r="I21" s="1"/>
      <c r="J21" s="1"/>
      <c r="K21" s="3"/>
      <c r="L21" s="3"/>
      <c r="M21" s="106"/>
      <c r="N21" s="106"/>
      <c r="O21" s="124"/>
      <c r="P21" s="124"/>
      <c r="Q21" s="124"/>
      <c r="R21" s="124"/>
      <c r="S21" s="124"/>
      <c r="T21" s="124"/>
      <c r="U21" s="124"/>
      <c r="V21" s="124"/>
      <c r="W21" s="124"/>
      <c r="X21" s="124"/>
      <c r="Y21" s="124"/>
      <c r="Z21" s="124"/>
      <c r="AA21" s="124"/>
      <c r="AB21" s="124"/>
      <c r="AC21" s="124"/>
      <c r="AD21" s="124"/>
      <c r="AE21" s="54"/>
      <c r="AF21" s="54"/>
      <c r="AG21" s="54"/>
      <c r="AH21" s="54"/>
      <c r="AI21" s="54"/>
      <c r="AJ21" s="1"/>
      <c r="AK21" s="1"/>
      <c r="AL21" s="1"/>
      <c r="AM21" s="1"/>
    </row>
    <row r="22" spans="1:39" ht="12.75">
      <c r="A22" s="187" t="str">
        <f>A31</f>
        <v>Albania</v>
      </c>
      <c r="B22" s="189">
        <f>B21+B20*B31</f>
        <v>9609870.986277474</v>
      </c>
      <c r="C22" s="180">
        <f>B20+C21*B31</f>
        <v>3.2118552761622574</v>
      </c>
      <c r="D22" s="1"/>
      <c r="E22" s="18"/>
      <c r="F22" s="55"/>
      <c r="G22" s="1"/>
      <c r="H22" s="1"/>
      <c r="I22" s="1"/>
      <c r="J22" s="1"/>
      <c r="K22" s="3"/>
      <c r="L22" s="3"/>
      <c r="M22" s="54"/>
      <c r="N22" s="125"/>
      <c r="O22" s="51"/>
      <c r="P22" s="118"/>
      <c r="Q22" s="39"/>
      <c r="R22" s="118"/>
      <c r="S22" s="39"/>
      <c r="T22" s="118"/>
      <c r="U22" s="39"/>
      <c r="V22" s="118"/>
      <c r="W22" s="39"/>
      <c r="X22" s="118"/>
      <c r="Y22" s="39"/>
      <c r="Z22" s="118"/>
      <c r="AA22" s="39"/>
      <c r="AB22" s="118"/>
      <c r="AC22" s="39"/>
      <c r="AD22" s="118"/>
      <c r="AE22" s="39"/>
      <c r="AF22" s="118"/>
      <c r="AG22" s="39"/>
      <c r="AH22" s="118"/>
      <c r="AI22" s="54"/>
      <c r="AJ22" s="1"/>
      <c r="AK22" s="1"/>
      <c r="AL22" s="1"/>
      <c r="AM22" s="1"/>
    </row>
    <row r="23" spans="1:39" ht="12.75">
      <c r="A23" s="358" t="s">
        <v>316</v>
      </c>
      <c r="B23" s="190">
        <f>J31*1000000</f>
        <v>0</v>
      </c>
      <c r="C23" s="180">
        <f>B23</f>
        <v>0</v>
      </c>
      <c r="D23" s="1"/>
      <c r="E23" s="18"/>
      <c r="F23" s="55"/>
      <c r="G23" s="1"/>
      <c r="H23" s="1"/>
      <c r="I23" s="1"/>
      <c r="J23" s="1"/>
      <c r="K23" s="3"/>
      <c r="L23" s="3"/>
      <c r="M23" s="54"/>
      <c r="N23" s="126"/>
      <c r="O23" s="67"/>
      <c r="P23" s="28"/>
      <c r="Q23" s="28"/>
      <c r="R23" s="28"/>
      <c r="S23" s="28"/>
      <c r="T23" s="28"/>
      <c r="U23" s="28"/>
      <c r="V23" s="28"/>
      <c r="W23" s="28"/>
      <c r="X23" s="28"/>
      <c r="Y23" s="28"/>
      <c r="Z23" s="28"/>
      <c r="AA23" s="28"/>
      <c r="AB23" s="28"/>
      <c r="AC23" s="28"/>
      <c r="AD23" s="28"/>
      <c r="AE23" s="28"/>
      <c r="AF23" s="28"/>
      <c r="AG23" s="28"/>
      <c r="AH23" s="28"/>
      <c r="AI23" s="54"/>
      <c r="AJ23" s="1"/>
      <c r="AK23" s="1"/>
      <c r="AL23" s="1"/>
      <c r="AM23" s="1"/>
    </row>
    <row r="24" spans="1:39" ht="12.75">
      <c r="A24" s="358" t="s">
        <v>313</v>
      </c>
      <c r="B24" s="190">
        <f>B22-B23</f>
        <v>9609870.986277474</v>
      </c>
      <c r="C24" s="180">
        <f>C22-C23</f>
        <v>3.2118552761622574</v>
      </c>
      <c r="D24" s="1"/>
      <c r="E24" s="1"/>
      <c r="F24" s="55"/>
      <c r="G24" s="1"/>
      <c r="H24" s="18"/>
      <c r="I24" s="1"/>
      <c r="J24" s="1"/>
      <c r="K24" s="41"/>
      <c r="L24" s="3"/>
      <c r="M24" s="54"/>
      <c r="N24" s="54"/>
      <c r="O24" s="25"/>
      <c r="P24" s="19"/>
      <c r="Q24" s="37"/>
      <c r="R24" s="19"/>
      <c r="S24" s="37"/>
      <c r="T24" s="19"/>
      <c r="U24" s="37"/>
      <c r="V24" s="19"/>
      <c r="W24" s="37"/>
      <c r="X24" s="19"/>
      <c r="Y24" s="37"/>
      <c r="Z24" s="19"/>
      <c r="AA24" s="37"/>
      <c r="AB24" s="19"/>
      <c r="AC24" s="37"/>
      <c r="AD24" s="19"/>
      <c r="AE24" s="37"/>
      <c r="AF24" s="19"/>
      <c r="AG24" s="37"/>
      <c r="AH24" s="19"/>
      <c r="AI24" s="54"/>
      <c r="AJ24" s="1"/>
      <c r="AK24" s="1"/>
      <c r="AL24" s="1"/>
      <c r="AM24" s="1"/>
    </row>
    <row r="25" spans="1:39" ht="12.75">
      <c r="A25" s="187" t="s">
        <v>314</v>
      </c>
      <c r="B25" s="191">
        <f>B24/B31</f>
        <v>3.2118552761622574</v>
      </c>
      <c r="C25" s="196">
        <f>C24/B31</f>
        <v>1.0734810414980807E-06</v>
      </c>
      <c r="D25" s="18"/>
      <c r="E25" s="18"/>
      <c r="F25" s="55"/>
      <c r="G25" s="1"/>
      <c r="H25" s="1"/>
      <c r="I25" s="1"/>
      <c r="J25" s="1"/>
      <c r="K25" s="47"/>
      <c r="L25" s="41"/>
      <c r="M25" s="54"/>
      <c r="N25" s="54"/>
      <c r="O25" s="54"/>
      <c r="P25" s="119"/>
      <c r="Q25" s="75"/>
      <c r="R25" s="59"/>
      <c r="S25" s="107"/>
      <c r="T25" s="59"/>
      <c r="U25" s="97"/>
      <c r="V25" s="58"/>
      <c r="W25" s="58"/>
      <c r="X25" s="120"/>
      <c r="Y25" s="120"/>
      <c r="Z25" s="58"/>
      <c r="AA25" s="59"/>
      <c r="AB25" s="59"/>
      <c r="AC25" s="59"/>
      <c r="AD25" s="59"/>
      <c r="AE25" s="59"/>
      <c r="AF25" s="59"/>
      <c r="AG25" s="59"/>
      <c r="AH25" s="59"/>
      <c r="AI25" s="54"/>
      <c r="AJ25" s="1"/>
      <c r="AK25" s="1"/>
      <c r="AL25" s="1"/>
      <c r="AM25" s="1"/>
    </row>
    <row r="26" spans="1:39" ht="12.75">
      <c r="A26" s="192"/>
      <c r="B26" s="192"/>
      <c r="C26" s="192"/>
      <c r="D26" s="79"/>
      <c r="E26" s="79"/>
      <c r="F26" s="79"/>
      <c r="G26" s="79"/>
      <c r="H26" s="79"/>
      <c r="I26" s="79"/>
      <c r="J26" s="79"/>
      <c r="K26" s="38"/>
      <c r="L26" s="38"/>
      <c r="M26" s="122"/>
      <c r="N26" s="122"/>
      <c r="O26" s="122"/>
      <c r="P26" s="58"/>
      <c r="Q26" s="121"/>
      <c r="R26" s="58"/>
      <c r="S26" s="58"/>
      <c r="T26" s="58"/>
      <c r="U26" s="58"/>
      <c r="V26" s="108"/>
      <c r="W26" s="58"/>
      <c r="X26" s="89"/>
      <c r="Y26" s="58"/>
      <c r="Z26" s="58"/>
      <c r="AA26" s="58"/>
      <c r="AB26" s="58"/>
      <c r="AC26" s="58"/>
      <c r="AD26" s="58"/>
      <c r="AE26" s="59"/>
      <c r="AF26" s="59"/>
      <c r="AG26" s="59"/>
      <c r="AH26" s="59"/>
      <c r="AI26" s="54"/>
      <c r="AJ26" s="1"/>
      <c r="AK26" s="1"/>
      <c r="AL26" s="1"/>
      <c r="AM26" s="1"/>
    </row>
    <row r="27" spans="1:39" ht="18.75">
      <c r="A27" s="436" t="s">
        <v>315</v>
      </c>
      <c r="B27" s="437">
        <f>B24/1000000</f>
        <v>9.609870986277475</v>
      </c>
      <c r="C27" s="438" t="s">
        <v>196</v>
      </c>
      <c r="E27" s="1"/>
      <c r="F27" s="12"/>
      <c r="G27" s="18"/>
      <c r="H27" s="1"/>
      <c r="I27" s="1"/>
      <c r="J27" s="1"/>
      <c r="K27" s="3"/>
      <c r="L27" s="3"/>
      <c r="M27" s="3"/>
      <c r="N27" s="3"/>
      <c r="O27" s="3"/>
      <c r="P27" s="3"/>
      <c r="Q27" s="3"/>
      <c r="R27" s="3"/>
      <c r="S27" s="46"/>
      <c r="T27" s="3"/>
      <c r="U27" s="38"/>
      <c r="V27" s="38"/>
      <c r="W27" s="38"/>
      <c r="X27" s="104">
        <f>X26*-1</f>
        <v>0</v>
      </c>
      <c r="Y27" s="105" t="s">
        <v>231</v>
      </c>
      <c r="Z27" s="90"/>
      <c r="AA27" s="91"/>
      <c r="AB27" s="91"/>
      <c r="AC27" s="91"/>
      <c r="AD27" s="3"/>
      <c r="AE27" s="1"/>
      <c r="AF27" s="1"/>
      <c r="AG27" s="1"/>
      <c r="AH27" s="1"/>
      <c r="AI27" s="1"/>
      <c r="AJ27" s="1"/>
      <c r="AK27" s="1"/>
      <c r="AL27" s="1"/>
      <c r="AM27" s="1"/>
    </row>
    <row r="28" spans="1:39" ht="12.75">
      <c r="A28" s="360" t="s">
        <v>252</v>
      </c>
      <c r="B28" s="219"/>
      <c r="C28" s="193" t="str">
        <f>A31</f>
        <v>Albania</v>
      </c>
      <c r="D28" s="14" t="s">
        <v>158</v>
      </c>
      <c r="E28" s="1"/>
      <c r="F28" s="1"/>
      <c r="G28" s="1"/>
      <c r="H28" s="1"/>
      <c r="I28" s="1"/>
      <c r="J28" s="1"/>
      <c r="K28" s="3"/>
      <c r="L28" s="3"/>
      <c r="M28" s="3"/>
      <c r="N28" s="3"/>
      <c r="O28" s="3"/>
      <c r="P28" s="3"/>
      <c r="Q28" s="3"/>
      <c r="R28" s="3"/>
      <c r="S28" s="46"/>
      <c r="T28" s="3"/>
      <c r="U28" s="3"/>
      <c r="V28" s="3"/>
      <c r="W28" s="3"/>
      <c r="X28" s="3"/>
      <c r="Y28" s="49"/>
      <c r="Z28" s="3"/>
      <c r="AA28" s="3"/>
      <c r="AB28" s="3"/>
      <c r="AC28" s="3"/>
      <c r="AD28" s="3"/>
      <c r="AE28" s="1"/>
      <c r="AF28" s="1"/>
      <c r="AG28" s="1"/>
      <c r="AH28" s="1"/>
      <c r="AI28" s="1"/>
      <c r="AJ28" s="1"/>
      <c r="AK28" s="1"/>
      <c r="AL28" s="1"/>
      <c r="AM28" s="1"/>
    </row>
    <row r="29" spans="1:38" ht="12.75">
      <c r="A29" s="1"/>
      <c r="B29" s="76">
        <f>B24/C16/1000000</f>
        <v>1.7809715949985965</v>
      </c>
      <c r="E29" s="18"/>
      <c r="F29" s="23"/>
      <c r="G29" s="1"/>
      <c r="H29" s="1"/>
      <c r="I29" s="1"/>
      <c r="J29" s="1"/>
      <c r="K29" s="3"/>
      <c r="L29" s="3"/>
      <c r="M29" s="3"/>
      <c r="N29" s="3"/>
      <c r="O29" s="3"/>
      <c r="P29" s="3"/>
      <c r="Q29" s="3"/>
      <c r="R29" s="3"/>
      <c r="S29" s="3"/>
      <c r="T29" s="3"/>
      <c r="U29" s="3"/>
      <c r="V29" s="49"/>
      <c r="W29" s="3"/>
      <c r="X29" s="49"/>
      <c r="Y29" s="49"/>
      <c r="Z29" s="3"/>
      <c r="AA29" s="3"/>
      <c r="AB29" s="3"/>
      <c r="AC29" s="3"/>
      <c r="AD29" s="3"/>
      <c r="AE29" s="1"/>
      <c r="AF29" s="1"/>
      <c r="AG29" s="1"/>
      <c r="AH29" s="1"/>
      <c r="AI29" s="1"/>
      <c r="AJ29" s="1"/>
      <c r="AK29" s="1"/>
      <c r="AL29" s="1"/>
    </row>
    <row r="30" spans="1:38" ht="12.75">
      <c r="A30" s="584" t="s">
        <v>210</v>
      </c>
      <c r="B30" s="536" t="s">
        <v>156</v>
      </c>
      <c r="C30" s="536" t="s">
        <v>321</v>
      </c>
      <c r="D30" s="536" t="s">
        <v>211</v>
      </c>
      <c r="E30" s="536" t="s">
        <v>391</v>
      </c>
      <c r="F30" s="536" t="s">
        <v>265</v>
      </c>
      <c r="G30" s="536" t="s">
        <v>389</v>
      </c>
      <c r="H30" s="536" t="s">
        <v>224</v>
      </c>
      <c r="I30" s="536" t="s">
        <v>282</v>
      </c>
      <c r="J30" s="536" t="s">
        <v>212</v>
      </c>
      <c r="K30" s="536">
        <v>2020</v>
      </c>
      <c r="L30" s="536">
        <v>2021</v>
      </c>
      <c r="M30" s="536">
        <v>2022</v>
      </c>
      <c r="N30" s="536">
        <v>2023</v>
      </c>
      <c r="O30" s="536">
        <v>2024</v>
      </c>
      <c r="P30" s="536">
        <v>2025</v>
      </c>
      <c r="Q30" s="536">
        <v>2026</v>
      </c>
      <c r="R30" s="536">
        <v>2027</v>
      </c>
      <c r="S30" s="536">
        <v>2028</v>
      </c>
      <c r="T30" s="536">
        <v>2029</v>
      </c>
      <c r="U30" s="536">
        <v>2030</v>
      </c>
      <c r="V30" s="536">
        <v>2031</v>
      </c>
      <c r="W30" s="536">
        <v>2032</v>
      </c>
      <c r="X30" s="536">
        <v>2033</v>
      </c>
      <c r="Y30" s="536">
        <v>2034</v>
      </c>
      <c r="Z30" s="536">
        <v>2035</v>
      </c>
      <c r="AA30" s="536">
        <v>2036</v>
      </c>
      <c r="AB30" s="536">
        <v>2037</v>
      </c>
      <c r="AC30" s="536">
        <v>2038</v>
      </c>
      <c r="AD30" s="536">
        <v>2039</v>
      </c>
      <c r="AF30" s="1"/>
      <c r="AG30" s="1"/>
      <c r="AH30" s="1"/>
      <c r="AI30" s="1"/>
      <c r="AJ30" s="1"/>
      <c r="AK30" s="1"/>
      <c r="AL30" s="1"/>
    </row>
    <row r="31" spans="1:39" ht="12.75">
      <c r="A31" s="291" t="str">
        <f>beregningsark!A30</f>
        <v>Albania</v>
      </c>
      <c r="B31" s="293">
        <f>beregningsark!B30</f>
        <v>2992000</v>
      </c>
      <c r="C31" s="311">
        <f>beregningsark!Y14</f>
        <v>0.5952445170449855</v>
      </c>
      <c r="D31" s="311">
        <f>beregningsark!X6</f>
        <v>2.7168236885469508</v>
      </c>
      <c r="E31" s="311">
        <f>beregningsark!D30</f>
        <v>-0.45</v>
      </c>
      <c r="F31" s="311">
        <f>beregningsark!E30</f>
        <v>76.45</v>
      </c>
      <c r="G31" s="311">
        <f>beregningsark!F30</f>
        <v>0.955</v>
      </c>
      <c r="H31" s="311">
        <f>beregningsark!H30</f>
        <v>0</v>
      </c>
      <c r="I31" s="293">
        <f>beregningsark!I30</f>
        <v>5111.166666666667</v>
      </c>
      <c r="J31" s="311">
        <f>beregningsark!J30</f>
        <v>0</v>
      </c>
      <c r="K31" s="311"/>
      <c r="L31" s="311"/>
      <c r="M31" s="311"/>
      <c r="N31" s="311"/>
      <c r="O31" s="311"/>
      <c r="P31" s="311"/>
      <c r="Q31" s="311"/>
      <c r="R31" s="311"/>
      <c r="S31" s="311"/>
      <c r="T31" s="301"/>
      <c r="U31" s="301"/>
      <c r="V31" s="301"/>
      <c r="W31" s="311"/>
      <c r="X31" s="311"/>
      <c r="Y31" s="311"/>
      <c r="Z31" s="311"/>
      <c r="AA31" s="311"/>
      <c r="AB31" s="311"/>
      <c r="AC31" s="311"/>
      <c r="AD31" s="311"/>
      <c r="AF31" s="1"/>
      <c r="AG31" s="1"/>
      <c r="AH31" s="1"/>
      <c r="AI31" s="1"/>
      <c r="AJ31" s="1"/>
      <c r="AK31" s="1"/>
      <c r="AL31" s="1"/>
      <c r="AM31" s="1"/>
    </row>
    <row r="32" spans="1:39" ht="12.75">
      <c r="A32" s="10"/>
      <c r="B32" s="48"/>
      <c r="C32" s="6"/>
      <c r="D32" s="6"/>
      <c r="E32" s="6"/>
      <c r="F32" s="6"/>
      <c r="G32" s="10"/>
      <c r="H32" s="6"/>
      <c r="I32" s="10"/>
      <c r="J32" s="6"/>
      <c r="K32" s="10"/>
      <c r="L32" s="10"/>
      <c r="M32" s="10"/>
      <c r="N32" s="10"/>
      <c r="O32" s="10"/>
      <c r="P32" s="10"/>
      <c r="Q32" s="10"/>
      <c r="R32" s="10"/>
      <c r="S32" s="10"/>
      <c r="T32" s="10"/>
      <c r="U32" s="10"/>
      <c r="V32" s="10"/>
      <c r="W32" s="10"/>
      <c r="X32" s="10"/>
      <c r="Y32" s="5"/>
      <c r="Z32" s="10"/>
      <c r="AA32" s="10"/>
      <c r="AB32" s="10"/>
      <c r="AC32" s="10"/>
      <c r="AD32" s="10"/>
      <c r="AE32" s="10"/>
      <c r="AF32" s="1"/>
      <c r="AG32" s="1"/>
      <c r="AH32" s="1"/>
      <c r="AI32" s="1"/>
      <c r="AJ32" s="1"/>
      <c r="AK32" s="1"/>
      <c r="AL32" s="1"/>
      <c r="AM32" s="1"/>
    </row>
    <row r="33" spans="1:39" ht="12.75">
      <c r="A33" s="71"/>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10"/>
      <c r="AE33" s="21"/>
      <c r="AF33" s="1"/>
      <c r="AG33" s="1"/>
      <c r="AH33" s="1"/>
      <c r="AI33" s="1"/>
      <c r="AJ33" s="1"/>
      <c r="AK33" s="1"/>
      <c r="AL33" s="1"/>
      <c r="AM33" s="1"/>
    </row>
    <row r="34" spans="1:39" ht="12.75">
      <c r="A34" s="12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10"/>
      <c r="AE34" s="21"/>
      <c r="AF34" s="1"/>
      <c r="AG34" s="1"/>
      <c r="AH34" s="1"/>
      <c r="AI34" s="1"/>
      <c r="AJ34" s="1"/>
      <c r="AK34" s="1"/>
      <c r="AL34" s="1"/>
      <c r="AM34" s="1"/>
    </row>
    <row r="35" spans="1:35" ht="12.75">
      <c r="A35" s="5"/>
      <c r="B35" s="95"/>
      <c r="C35" s="20"/>
      <c r="D35" s="10"/>
      <c r="E35" s="21"/>
      <c r="F35" s="21"/>
      <c r="G35" s="63"/>
      <c r="H35" s="20"/>
      <c r="I35" s="63"/>
      <c r="J35" s="20"/>
      <c r="K35" s="20"/>
      <c r="L35" s="20"/>
      <c r="M35" s="20"/>
      <c r="N35" s="20"/>
      <c r="O35" s="20"/>
      <c r="P35" s="53"/>
      <c r="Q35" s="20"/>
      <c r="R35" s="20"/>
      <c r="S35" s="21"/>
      <c r="T35" s="21"/>
      <c r="U35" s="21"/>
      <c r="V35" s="20"/>
      <c r="W35" s="20"/>
      <c r="X35" s="20"/>
      <c r="Y35" s="20"/>
      <c r="Z35" s="20"/>
      <c r="AA35" s="20"/>
      <c r="AB35" s="20"/>
      <c r="AC35" s="20"/>
      <c r="AD35" s="10"/>
      <c r="AE35" s="20"/>
      <c r="AF35" s="1"/>
      <c r="AG35" s="1"/>
      <c r="AH35" s="1"/>
      <c r="AI35" s="1"/>
    </row>
    <row r="36" spans="36:39" ht="12.75">
      <c r="AJ36" s="1"/>
      <c r="AK36" s="1"/>
      <c r="AL36" s="1"/>
      <c r="AM36" s="1"/>
    </row>
    <row r="37" spans="1:39" ht="12.75">
      <c r="A37" s="5"/>
      <c r="B37" s="95"/>
      <c r="C37" s="20"/>
      <c r="D37" s="10"/>
      <c r="E37" s="21"/>
      <c r="F37" s="21"/>
      <c r="G37" s="63"/>
      <c r="H37" s="20"/>
      <c r="I37" s="63"/>
      <c r="J37" s="20"/>
      <c r="K37" s="20"/>
      <c r="L37" s="20"/>
      <c r="M37" s="20"/>
      <c r="N37" s="20"/>
      <c r="O37" s="20"/>
      <c r="P37" s="53"/>
      <c r="Q37" s="20"/>
      <c r="R37" s="20"/>
      <c r="S37" s="21"/>
      <c r="T37" s="21"/>
      <c r="U37" s="21"/>
      <c r="V37" s="20"/>
      <c r="W37" s="20"/>
      <c r="X37" s="20"/>
      <c r="Y37" s="20"/>
      <c r="Z37" s="20"/>
      <c r="AA37" s="20"/>
      <c r="AB37" s="20"/>
      <c r="AC37" s="20"/>
      <c r="AD37" s="10"/>
      <c r="AE37" s="20"/>
      <c r="AF37" s="1"/>
      <c r="AG37" s="1"/>
      <c r="AH37" s="1"/>
      <c r="AI37" s="1"/>
      <c r="AJ37" s="1"/>
      <c r="AK37" s="1"/>
      <c r="AL37" s="1"/>
      <c r="AM37" s="1"/>
    </row>
    <row r="38" spans="1:39" ht="12.75">
      <c r="A38" s="5"/>
      <c r="B38" s="95"/>
      <c r="C38" s="20"/>
      <c r="D38" s="10"/>
      <c r="E38" s="21"/>
      <c r="F38" s="21"/>
      <c r="G38" s="63"/>
      <c r="H38" s="20"/>
      <c r="I38" s="63"/>
      <c r="J38" s="20"/>
      <c r="K38" s="20"/>
      <c r="L38" s="20"/>
      <c r="M38" s="20"/>
      <c r="N38" s="20"/>
      <c r="O38" s="20"/>
      <c r="P38" s="53"/>
      <c r="Q38" s="20"/>
      <c r="R38" s="20"/>
      <c r="S38" s="21"/>
      <c r="T38" s="21"/>
      <c r="U38" s="21"/>
      <c r="V38" s="20"/>
      <c r="W38" s="20"/>
      <c r="X38" s="20"/>
      <c r="Y38" s="20"/>
      <c r="Z38" s="20"/>
      <c r="AA38" s="20"/>
      <c r="AB38" s="20"/>
      <c r="AC38" s="20"/>
      <c r="AD38" s="10"/>
      <c r="AE38" s="20"/>
      <c r="AF38" s="1"/>
      <c r="AG38" s="1"/>
      <c r="AH38" s="1"/>
      <c r="AI38" s="1"/>
      <c r="AJ38" s="1"/>
      <c r="AK38" s="1"/>
      <c r="AL38" s="1"/>
      <c r="AM38" s="1"/>
    </row>
    <row r="39" spans="1:39" ht="12.75">
      <c r="A39" s="5"/>
      <c r="B39" s="95"/>
      <c r="C39" s="20"/>
      <c r="D39" s="10"/>
      <c r="E39" s="21"/>
      <c r="F39" s="21"/>
      <c r="G39" s="63"/>
      <c r="H39" s="20"/>
      <c r="I39" s="63"/>
      <c r="J39" s="20"/>
      <c r="K39" s="20"/>
      <c r="L39" s="20"/>
      <c r="M39" s="20"/>
      <c r="N39" s="20"/>
      <c r="O39" s="20"/>
      <c r="P39" s="53"/>
      <c r="Q39" s="20"/>
      <c r="R39" s="20"/>
      <c r="S39" s="21"/>
      <c r="T39" s="21"/>
      <c r="U39" s="21"/>
      <c r="V39" s="20"/>
      <c r="W39" s="53"/>
      <c r="X39" s="20"/>
      <c r="Y39" s="20"/>
      <c r="Z39" s="20"/>
      <c r="AA39" s="20"/>
      <c r="AB39" s="20"/>
      <c r="AC39" s="20"/>
      <c r="AD39" s="10"/>
      <c r="AE39" s="20"/>
      <c r="AF39" s="1"/>
      <c r="AG39" s="1"/>
      <c r="AH39" s="1"/>
      <c r="AI39" s="1"/>
      <c r="AJ39" s="1"/>
      <c r="AK39" s="1"/>
      <c r="AL39" s="1"/>
      <c r="AM39" s="1"/>
    </row>
    <row r="40" spans="1:39" ht="12.75">
      <c r="A40" s="5"/>
      <c r="B40" s="95"/>
      <c r="C40" s="20"/>
      <c r="D40" s="10"/>
      <c r="E40" s="21"/>
      <c r="F40" s="21"/>
      <c r="G40" s="63"/>
      <c r="H40" s="20"/>
      <c r="I40" s="63"/>
      <c r="J40" s="20"/>
      <c r="K40" s="20"/>
      <c r="L40" s="20"/>
      <c r="M40" s="20"/>
      <c r="N40" s="20"/>
      <c r="O40" s="20"/>
      <c r="P40" s="53"/>
      <c r="Q40" s="20"/>
      <c r="R40" s="20"/>
      <c r="S40" s="21"/>
      <c r="T40" s="21"/>
      <c r="U40" s="21"/>
      <c r="V40" s="20"/>
      <c r="W40" s="20"/>
      <c r="X40" s="20"/>
      <c r="Y40" s="20"/>
      <c r="Z40" s="20"/>
      <c r="AA40" s="20"/>
      <c r="AB40" s="20"/>
      <c r="AC40" s="20"/>
      <c r="AD40" s="10"/>
      <c r="AE40" s="20"/>
      <c r="AF40" s="1"/>
      <c r="AG40" s="1"/>
      <c r="AH40" s="1"/>
      <c r="AI40" s="1"/>
      <c r="AJ40" s="1"/>
      <c r="AK40" s="1"/>
      <c r="AL40" s="1"/>
      <c r="AM40" s="1"/>
    </row>
    <row r="41" spans="1:39" ht="12.75">
      <c r="A41" s="5"/>
      <c r="B41" s="95"/>
      <c r="C41" s="20"/>
      <c r="D41" s="10"/>
      <c r="E41" s="21"/>
      <c r="F41" s="21"/>
      <c r="G41" s="63"/>
      <c r="H41" s="20"/>
      <c r="I41" s="63"/>
      <c r="J41" s="20"/>
      <c r="K41" s="20"/>
      <c r="L41" s="20"/>
      <c r="M41" s="20"/>
      <c r="N41" s="20"/>
      <c r="O41" s="20"/>
      <c r="P41" s="53"/>
      <c r="Q41" s="20"/>
      <c r="R41" s="20"/>
      <c r="S41" s="21"/>
      <c r="T41" s="21"/>
      <c r="U41" s="21"/>
      <c r="V41" s="20"/>
      <c r="W41" s="20"/>
      <c r="X41" s="20"/>
      <c r="Y41" s="20"/>
      <c r="Z41" s="20"/>
      <c r="AA41" s="20"/>
      <c r="AB41" s="20"/>
      <c r="AC41" s="20"/>
      <c r="AD41" s="10"/>
      <c r="AE41" s="20"/>
      <c r="AF41" s="1"/>
      <c r="AG41" s="1"/>
      <c r="AH41" s="1"/>
      <c r="AI41" s="1"/>
      <c r="AJ41" s="1"/>
      <c r="AK41" s="1"/>
      <c r="AL41" s="1"/>
      <c r="AM41" s="1"/>
    </row>
    <row r="42" spans="1:39" ht="12.75">
      <c r="A42" s="5"/>
      <c r="B42" s="95"/>
      <c r="C42" s="20"/>
      <c r="D42" s="10"/>
      <c r="E42" s="21"/>
      <c r="F42" s="21"/>
      <c r="G42" s="20"/>
      <c r="H42" s="20"/>
      <c r="I42" s="63"/>
      <c r="J42" s="20"/>
      <c r="K42" s="20"/>
      <c r="L42" s="20"/>
      <c r="M42" s="20"/>
      <c r="N42" s="20"/>
      <c r="O42" s="20"/>
      <c r="P42" s="53"/>
      <c r="Q42" s="20"/>
      <c r="R42" s="20"/>
      <c r="S42" s="21"/>
      <c r="T42" s="21"/>
      <c r="U42" s="21"/>
      <c r="V42" s="20"/>
      <c r="W42" s="20"/>
      <c r="X42" s="20"/>
      <c r="Y42" s="20"/>
      <c r="Z42" s="20"/>
      <c r="AA42" s="20"/>
      <c r="AB42" s="20"/>
      <c r="AC42" s="20"/>
      <c r="AD42" s="10"/>
      <c r="AE42" s="20"/>
      <c r="AF42" s="1"/>
      <c r="AG42" s="1"/>
      <c r="AH42" s="1"/>
      <c r="AI42" s="1"/>
      <c r="AJ42" s="1"/>
      <c r="AK42" s="1"/>
      <c r="AL42" s="1"/>
      <c r="AM42" s="1"/>
    </row>
    <row r="43" spans="1:39" ht="12.75">
      <c r="A43" s="5"/>
      <c r="B43" s="95"/>
      <c r="C43" s="20"/>
      <c r="D43" s="10"/>
      <c r="E43" s="21"/>
      <c r="F43" s="21"/>
      <c r="G43" s="20"/>
      <c r="H43" s="20"/>
      <c r="I43" s="63"/>
      <c r="J43" s="20"/>
      <c r="K43" s="20"/>
      <c r="L43" s="20"/>
      <c r="M43" s="20"/>
      <c r="N43" s="20"/>
      <c r="O43" s="20"/>
      <c r="P43" s="53"/>
      <c r="Q43" s="20"/>
      <c r="R43" s="20"/>
      <c r="S43" s="21"/>
      <c r="T43" s="21"/>
      <c r="U43" s="21"/>
      <c r="V43" s="20"/>
      <c r="W43" s="20"/>
      <c r="X43" s="20"/>
      <c r="Y43" s="20"/>
      <c r="Z43" s="20"/>
      <c r="AA43" s="20"/>
      <c r="AB43" s="20"/>
      <c r="AC43" s="20"/>
      <c r="AD43" s="10"/>
      <c r="AE43" s="20"/>
      <c r="AF43" s="1"/>
      <c r="AG43" s="1"/>
      <c r="AH43" s="1"/>
      <c r="AI43" s="1"/>
      <c r="AJ43" s="1"/>
      <c r="AK43" s="1"/>
      <c r="AL43" s="1"/>
      <c r="AM43" s="1"/>
    </row>
    <row r="44" spans="1:39" ht="12.75">
      <c r="A44" s="5"/>
      <c r="B44" s="95"/>
      <c r="C44" s="20"/>
      <c r="D44" s="10"/>
      <c r="E44" s="21"/>
      <c r="F44" s="21"/>
      <c r="G44" s="20"/>
      <c r="H44" s="20"/>
      <c r="I44" s="63"/>
      <c r="J44" s="20"/>
      <c r="K44" s="20"/>
      <c r="L44" s="20"/>
      <c r="M44" s="20"/>
      <c r="N44" s="20"/>
      <c r="O44" s="20"/>
      <c r="P44" s="53"/>
      <c r="Q44" s="20"/>
      <c r="R44" s="20"/>
      <c r="S44" s="21"/>
      <c r="T44" s="21"/>
      <c r="U44" s="21"/>
      <c r="V44" s="20"/>
      <c r="W44" s="20"/>
      <c r="X44" s="20"/>
      <c r="Y44" s="20"/>
      <c r="Z44" s="20"/>
      <c r="AA44" s="20"/>
      <c r="AB44" s="20"/>
      <c r="AC44" s="20"/>
      <c r="AD44" s="10"/>
      <c r="AE44" s="20"/>
      <c r="AF44" s="1"/>
      <c r="AG44" s="1"/>
      <c r="AH44" s="1"/>
      <c r="AI44" s="1"/>
      <c r="AJ44" s="1"/>
      <c r="AK44" s="1"/>
      <c r="AL44" s="1"/>
      <c r="AM44" s="1"/>
    </row>
    <row r="45" spans="1:39" ht="12.75">
      <c r="A45" s="5"/>
      <c r="B45" s="95"/>
      <c r="C45" s="20"/>
      <c r="D45" s="10"/>
      <c r="E45" s="21"/>
      <c r="F45" s="21"/>
      <c r="G45" s="20"/>
      <c r="H45" s="20"/>
      <c r="I45" s="63"/>
      <c r="J45" s="20"/>
      <c r="K45" s="20"/>
      <c r="L45" s="20"/>
      <c r="M45" s="20"/>
      <c r="N45" s="20"/>
      <c r="O45" s="20"/>
      <c r="P45" s="53"/>
      <c r="Q45" s="20"/>
      <c r="R45" s="20"/>
      <c r="S45" s="21"/>
      <c r="T45" s="21"/>
      <c r="U45" s="21"/>
      <c r="V45" s="20"/>
      <c r="W45" s="20"/>
      <c r="X45" s="20"/>
      <c r="Y45" s="20"/>
      <c r="Z45" s="20"/>
      <c r="AA45" s="20"/>
      <c r="AB45" s="20"/>
      <c r="AC45" s="20"/>
      <c r="AD45" s="10"/>
      <c r="AE45" s="20"/>
      <c r="AF45" s="1"/>
      <c r="AG45" s="1"/>
      <c r="AH45" s="1"/>
      <c r="AI45" s="1"/>
      <c r="AJ45" s="1"/>
      <c r="AK45" s="1"/>
      <c r="AL45" s="1"/>
      <c r="AM45" s="1"/>
    </row>
    <row r="46" spans="1:39" ht="12.75">
      <c r="A46" s="5"/>
      <c r="B46" s="95"/>
      <c r="C46" s="20"/>
      <c r="D46" s="10"/>
      <c r="E46" s="21"/>
      <c r="F46" s="21"/>
      <c r="G46" s="20"/>
      <c r="H46" s="20"/>
      <c r="I46" s="63"/>
      <c r="J46" s="20"/>
      <c r="K46" s="20"/>
      <c r="L46" s="20"/>
      <c r="M46" s="20"/>
      <c r="N46" s="20"/>
      <c r="O46" s="20"/>
      <c r="P46" s="53"/>
      <c r="Q46" s="20"/>
      <c r="R46" s="20"/>
      <c r="S46" s="21"/>
      <c r="T46" s="21"/>
      <c r="U46" s="21"/>
      <c r="V46" s="20"/>
      <c r="W46" s="20"/>
      <c r="X46" s="20"/>
      <c r="Y46" s="20"/>
      <c r="Z46" s="20"/>
      <c r="AA46" s="20"/>
      <c r="AB46" s="20"/>
      <c r="AC46" s="20"/>
      <c r="AD46" s="10"/>
      <c r="AE46" s="20"/>
      <c r="AF46" s="1"/>
      <c r="AG46" s="1"/>
      <c r="AH46" s="1"/>
      <c r="AI46" s="1"/>
      <c r="AJ46" s="1"/>
      <c r="AK46" s="1"/>
      <c r="AL46" s="1"/>
      <c r="AM46" s="1"/>
    </row>
    <row r="47" spans="1:39" ht="12.75">
      <c r="A47" s="5"/>
      <c r="B47" s="95"/>
      <c r="C47" s="20"/>
      <c r="D47" s="10"/>
      <c r="E47" s="21"/>
      <c r="F47" s="21"/>
      <c r="G47" s="20"/>
      <c r="H47" s="20"/>
      <c r="I47" s="63"/>
      <c r="J47" s="20"/>
      <c r="K47" s="20"/>
      <c r="L47" s="20"/>
      <c r="M47" s="20"/>
      <c r="N47" s="20"/>
      <c r="O47" s="20"/>
      <c r="P47" s="53"/>
      <c r="Q47" s="20"/>
      <c r="R47" s="20"/>
      <c r="S47" s="21"/>
      <c r="T47" s="21"/>
      <c r="U47" s="21"/>
      <c r="V47" s="20"/>
      <c r="W47" s="20"/>
      <c r="X47" s="20"/>
      <c r="Y47" s="20"/>
      <c r="Z47" s="20"/>
      <c r="AA47" s="20"/>
      <c r="AB47" s="20"/>
      <c r="AC47" s="20"/>
      <c r="AD47" s="10"/>
      <c r="AE47" s="20"/>
      <c r="AF47" s="1"/>
      <c r="AG47" s="1"/>
      <c r="AH47" s="1"/>
      <c r="AI47" s="1"/>
      <c r="AJ47" s="1"/>
      <c r="AK47" s="1"/>
      <c r="AL47" s="1"/>
      <c r="AM47" s="1"/>
    </row>
    <row r="48" spans="1:39" ht="12.75">
      <c r="A48" s="5"/>
      <c r="B48" s="95"/>
      <c r="C48" s="20"/>
      <c r="D48" s="10"/>
      <c r="E48" s="21"/>
      <c r="F48" s="21"/>
      <c r="G48" s="20"/>
      <c r="H48" s="20"/>
      <c r="I48" s="63"/>
      <c r="J48" s="20"/>
      <c r="K48" s="20"/>
      <c r="L48" s="20"/>
      <c r="M48" s="20"/>
      <c r="N48" s="20"/>
      <c r="O48" s="20"/>
      <c r="P48" s="53"/>
      <c r="Q48" s="20"/>
      <c r="R48" s="20"/>
      <c r="S48" s="21"/>
      <c r="T48" s="21"/>
      <c r="U48" s="21"/>
      <c r="V48" s="20"/>
      <c r="W48" s="20"/>
      <c r="X48" s="20"/>
      <c r="Y48" s="20"/>
      <c r="Z48" s="20"/>
      <c r="AA48" s="20"/>
      <c r="AB48" s="20"/>
      <c r="AC48" s="20"/>
      <c r="AD48" s="10"/>
      <c r="AE48" s="20"/>
      <c r="AF48" s="1"/>
      <c r="AG48" s="1"/>
      <c r="AH48" s="1"/>
      <c r="AI48" s="1"/>
      <c r="AJ48" s="1"/>
      <c r="AK48" s="1"/>
      <c r="AL48" s="1"/>
      <c r="AM48" s="1"/>
    </row>
    <row r="49" spans="1:39" ht="12.75">
      <c r="A49" s="5"/>
      <c r="B49" s="95"/>
      <c r="C49" s="20"/>
      <c r="D49" s="10"/>
      <c r="E49" s="21"/>
      <c r="F49" s="21"/>
      <c r="G49" s="20"/>
      <c r="H49" s="20"/>
      <c r="I49" s="63"/>
      <c r="J49" s="20"/>
      <c r="K49" s="20"/>
      <c r="L49" s="20"/>
      <c r="M49" s="20"/>
      <c r="N49" s="20"/>
      <c r="O49" s="20"/>
      <c r="P49" s="53"/>
      <c r="Q49" s="20"/>
      <c r="R49" s="20"/>
      <c r="S49" s="21"/>
      <c r="T49" s="21"/>
      <c r="U49" s="21"/>
      <c r="V49" s="20"/>
      <c r="W49" s="20"/>
      <c r="X49" s="20"/>
      <c r="Y49" s="20"/>
      <c r="Z49" s="20"/>
      <c r="AA49" s="20"/>
      <c r="AB49" s="20"/>
      <c r="AC49" s="20"/>
      <c r="AD49" s="10"/>
      <c r="AE49" s="20"/>
      <c r="AF49" s="1"/>
      <c r="AG49" s="1"/>
      <c r="AH49" s="1"/>
      <c r="AI49" s="1"/>
      <c r="AJ49" s="1"/>
      <c r="AK49" s="1"/>
      <c r="AL49" s="1"/>
      <c r="AM49" s="1"/>
    </row>
    <row r="50" spans="1:39" ht="12.75">
      <c r="A50" s="5"/>
      <c r="B50" s="95"/>
      <c r="C50" s="20"/>
      <c r="D50" s="10"/>
      <c r="E50" s="21"/>
      <c r="F50" s="21"/>
      <c r="G50" s="20"/>
      <c r="H50" s="20"/>
      <c r="I50" s="63"/>
      <c r="J50" s="20"/>
      <c r="K50" s="20"/>
      <c r="L50" s="20"/>
      <c r="M50" s="20"/>
      <c r="N50" s="20"/>
      <c r="O50" s="20"/>
      <c r="P50" s="53"/>
      <c r="Q50" s="20"/>
      <c r="R50" s="20"/>
      <c r="S50" s="21"/>
      <c r="T50" s="21"/>
      <c r="U50" s="21"/>
      <c r="V50" s="20"/>
      <c r="W50" s="20"/>
      <c r="X50" s="20"/>
      <c r="Y50" s="20"/>
      <c r="Z50" s="20"/>
      <c r="AA50" s="20"/>
      <c r="AB50" s="20"/>
      <c r="AC50" s="20"/>
      <c r="AD50" s="10"/>
      <c r="AE50" s="20"/>
      <c r="AF50" s="1"/>
      <c r="AG50" s="1"/>
      <c r="AH50" s="1"/>
      <c r="AI50" s="1"/>
      <c r="AJ50" s="1"/>
      <c r="AK50" s="1"/>
      <c r="AL50" s="1"/>
      <c r="AM50" s="1"/>
    </row>
    <row r="51" spans="1:39" ht="12.75">
      <c r="A51" s="5"/>
      <c r="B51" s="95"/>
      <c r="C51" s="20"/>
      <c r="D51" s="10"/>
      <c r="E51" s="21"/>
      <c r="F51" s="21"/>
      <c r="G51" s="20"/>
      <c r="H51" s="20"/>
      <c r="I51" s="63"/>
      <c r="J51" s="20"/>
      <c r="K51" s="20"/>
      <c r="L51" s="20"/>
      <c r="M51" s="20"/>
      <c r="N51" s="20"/>
      <c r="O51" s="20"/>
      <c r="P51" s="53"/>
      <c r="Q51" s="20"/>
      <c r="R51" s="20"/>
      <c r="S51" s="21"/>
      <c r="T51" s="21"/>
      <c r="U51" s="21"/>
      <c r="V51" s="20"/>
      <c r="W51" s="20"/>
      <c r="X51" s="20"/>
      <c r="Y51" s="20"/>
      <c r="Z51" s="20"/>
      <c r="AA51" s="20"/>
      <c r="AB51" s="20"/>
      <c r="AC51" s="20"/>
      <c r="AD51" s="10"/>
      <c r="AE51" s="20"/>
      <c r="AF51" s="1"/>
      <c r="AG51" s="1"/>
      <c r="AH51" s="1"/>
      <c r="AI51" s="1"/>
      <c r="AJ51" s="1"/>
      <c r="AK51" s="1"/>
      <c r="AL51" s="1"/>
      <c r="AM51" s="1"/>
    </row>
    <row r="52" spans="1:39" ht="12.75">
      <c r="A52" s="5"/>
      <c r="B52" s="95"/>
      <c r="C52" s="20"/>
      <c r="D52" s="10"/>
      <c r="E52" s="21"/>
      <c r="F52" s="21"/>
      <c r="G52" s="20"/>
      <c r="H52" s="20"/>
      <c r="I52" s="63"/>
      <c r="J52" s="20"/>
      <c r="K52" s="20"/>
      <c r="L52" s="20"/>
      <c r="M52" s="20"/>
      <c r="N52" s="20"/>
      <c r="O52" s="20"/>
      <c r="P52" s="53"/>
      <c r="Q52" s="20"/>
      <c r="R52" s="20"/>
      <c r="S52" s="21"/>
      <c r="T52" s="21"/>
      <c r="U52" s="21"/>
      <c r="V52" s="20"/>
      <c r="W52" s="20"/>
      <c r="X52" s="20"/>
      <c r="Y52" s="20"/>
      <c r="Z52" s="20"/>
      <c r="AA52" s="20"/>
      <c r="AB52" s="20"/>
      <c r="AC52" s="20"/>
      <c r="AD52" s="10"/>
      <c r="AE52" s="20"/>
      <c r="AF52" s="1"/>
      <c r="AG52" s="1"/>
      <c r="AH52" s="1"/>
      <c r="AI52" s="1"/>
      <c r="AJ52" s="1"/>
      <c r="AK52" s="1"/>
      <c r="AL52" s="1"/>
      <c r="AM52" s="1"/>
    </row>
    <row r="53" spans="1:39" ht="12.75">
      <c r="A53" s="5"/>
      <c r="B53" s="95"/>
      <c r="C53" s="20"/>
      <c r="D53" s="10"/>
      <c r="E53" s="21"/>
      <c r="F53" s="21"/>
      <c r="G53" s="20"/>
      <c r="H53" s="20"/>
      <c r="I53" s="63"/>
      <c r="J53" s="20"/>
      <c r="K53" s="20"/>
      <c r="L53" s="20"/>
      <c r="M53" s="20"/>
      <c r="N53" s="20"/>
      <c r="O53" s="20"/>
      <c r="P53" s="53"/>
      <c r="Q53" s="20"/>
      <c r="R53" s="20"/>
      <c r="S53" s="21"/>
      <c r="T53" s="21"/>
      <c r="U53" s="21"/>
      <c r="V53" s="20"/>
      <c r="W53" s="20"/>
      <c r="X53" s="20"/>
      <c r="Y53" s="20"/>
      <c r="Z53" s="20"/>
      <c r="AA53" s="20"/>
      <c r="AB53" s="20"/>
      <c r="AC53" s="20"/>
      <c r="AD53" s="10"/>
      <c r="AE53" s="20"/>
      <c r="AF53" s="1"/>
      <c r="AG53" s="1"/>
      <c r="AH53" s="1"/>
      <c r="AI53" s="1"/>
      <c r="AJ53" s="1"/>
      <c r="AK53" s="1"/>
      <c r="AL53" s="1"/>
      <c r="AM53" s="1"/>
    </row>
    <row r="54" spans="1:39" ht="12.75">
      <c r="A54" s="5"/>
      <c r="B54" s="95"/>
      <c r="C54" s="20"/>
      <c r="D54" s="10"/>
      <c r="E54" s="21"/>
      <c r="F54" s="21"/>
      <c r="G54" s="20"/>
      <c r="H54" s="20"/>
      <c r="I54" s="63"/>
      <c r="J54" s="20"/>
      <c r="K54" s="20"/>
      <c r="L54" s="20"/>
      <c r="M54" s="20"/>
      <c r="N54" s="20"/>
      <c r="O54" s="20"/>
      <c r="P54" s="53"/>
      <c r="Q54" s="20"/>
      <c r="R54" s="20"/>
      <c r="S54" s="21"/>
      <c r="T54" s="21"/>
      <c r="U54" s="21"/>
      <c r="V54" s="20"/>
      <c r="W54" s="20"/>
      <c r="X54" s="20"/>
      <c r="Y54" s="20"/>
      <c r="Z54" s="20"/>
      <c r="AA54" s="20"/>
      <c r="AB54" s="20"/>
      <c r="AC54" s="20"/>
      <c r="AD54" s="10"/>
      <c r="AE54" s="20"/>
      <c r="AF54" s="1"/>
      <c r="AG54" s="1"/>
      <c r="AH54" s="1"/>
      <c r="AI54" s="1"/>
      <c r="AJ54" s="1"/>
      <c r="AK54" s="1"/>
      <c r="AL54" s="1"/>
      <c r="AM54" s="1"/>
    </row>
    <row r="55" spans="1:39" ht="12.75">
      <c r="A55" s="5"/>
      <c r="B55" s="95"/>
      <c r="C55" s="20"/>
      <c r="D55" s="10"/>
      <c r="E55" s="21"/>
      <c r="F55" s="21"/>
      <c r="G55" s="20"/>
      <c r="H55" s="20"/>
      <c r="I55" s="63"/>
      <c r="J55" s="20"/>
      <c r="K55" s="20"/>
      <c r="L55" s="20"/>
      <c r="M55" s="20"/>
      <c r="N55" s="20"/>
      <c r="O55" s="20"/>
      <c r="P55" s="53"/>
      <c r="Q55" s="20"/>
      <c r="R55" s="20"/>
      <c r="S55" s="21"/>
      <c r="T55" s="21"/>
      <c r="U55" s="21"/>
      <c r="V55" s="20"/>
      <c r="W55" s="20"/>
      <c r="X55" s="20"/>
      <c r="Y55" s="20"/>
      <c r="Z55" s="20"/>
      <c r="AA55" s="20"/>
      <c r="AB55" s="20"/>
      <c r="AC55" s="20"/>
      <c r="AD55" s="10"/>
      <c r="AE55" s="20"/>
      <c r="AF55" s="1"/>
      <c r="AG55" s="1"/>
      <c r="AH55" s="1"/>
      <c r="AI55" s="1"/>
      <c r="AJ55" s="1"/>
      <c r="AK55" s="1"/>
      <c r="AL55" s="1"/>
      <c r="AM55" s="1"/>
    </row>
    <row r="56" spans="1:39" ht="12.75">
      <c r="A56" s="5"/>
      <c r="B56" s="95"/>
      <c r="C56" s="20"/>
      <c r="D56" s="10"/>
      <c r="E56" s="21"/>
      <c r="F56" s="21"/>
      <c r="G56" s="20"/>
      <c r="H56" s="20"/>
      <c r="I56" s="63"/>
      <c r="J56" s="20"/>
      <c r="K56" s="20"/>
      <c r="L56" s="20"/>
      <c r="M56" s="20"/>
      <c r="N56" s="20"/>
      <c r="O56" s="20"/>
      <c r="P56" s="53"/>
      <c r="Q56" s="20"/>
      <c r="R56" s="20"/>
      <c r="S56" s="21"/>
      <c r="T56" s="21"/>
      <c r="U56" s="21"/>
      <c r="V56" s="20"/>
      <c r="W56" s="20"/>
      <c r="X56" s="20"/>
      <c r="Y56" s="20"/>
      <c r="Z56" s="20"/>
      <c r="AA56" s="20"/>
      <c r="AB56" s="20"/>
      <c r="AC56" s="20"/>
      <c r="AD56" s="10"/>
      <c r="AE56" s="20"/>
      <c r="AF56" s="1"/>
      <c r="AG56" s="1"/>
      <c r="AH56" s="1"/>
      <c r="AI56" s="1"/>
      <c r="AJ56" s="1"/>
      <c r="AK56" s="1"/>
      <c r="AL56" s="1"/>
      <c r="AM56" s="1"/>
    </row>
    <row r="57" spans="1:39" ht="12.75">
      <c r="A57" s="5"/>
      <c r="B57" s="95"/>
      <c r="C57" s="20"/>
      <c r="D57" s="10"/>
      <c r="E57" s="21"/>
      <c r="F57" s="21"/>
      <c r="G57" s="20"/>
      <c r="H57" s="20"/>
      <c r="I57" s="63"/>
      <c r="J57" s="20"/>
      <c r="K57" s="20"/>
      <c r="L57" s="20"/>
      <c r="M57" s="20"/>
      <c r="N57" s="20"/>
      <c r="O57" s="20"/>
      <c r="P57" s="53"/>
      <c r="Q57" s="20"/>
      <c r="R57" s="20"/>
      <c r="S57" s="21"/>
      <c r="T57" s="21"/>
      <c r="U57" s="21"/>
      <c r="V57" s="20"/>
      <c r="W57" s="20"/>
      <c r="X57" s="20"/>
      <c r="Y57" s="20"/>
      <c r="Z57" s="20"/>
      <c r="AA57" s="20"/>
      <c r="AB57" s="20"/>
      <c r="AC57" s="20"/>
      <c r="AD57" s="10"/>
      <c r="AE57" s="20"/>
      <c r="AF57" s="1"/>
      <c r="AG57" s="1"/>
      <c r="AH57" s="1"/>
      <c r="AI57" s="1"/>
      <c r="AJ57" s="1"/>
      <c r="AK57" s="1"/>
      <c r="AL57" s="1"/>
      <c r="AM57" s="1"/>
    </row>
    <row r="58" spans="1:39" ht="12.75">
      <c r="A58" s="5"/>
      <c r="B58" s="95"/>
      <c r="C58" s="20"/>
      <c r="D58" s="10"/>
      <c r="E58" s="21"/>
      <c r="F58" s="21"/>
      <c r="G58" s="20"/>
      <c r="H58" s="20"/>
      <c r="I58" s="63"/>
      <c r="J58" s="20"/>
      <c r="K58" s="20"/>
      <c r="L58" s="20"/>
      <c r="M58" s="20"/>
      <c r="N58" s="20"/>
      <c r="O58" s="20"/>
      <c r="P58" s="53"/>
      <c r="Q58" s="20"/>
      <c r="R58" s="20"/>
      <c r="S58" s="21"/>
      <c r="T58" s="21"/>
      <c r="U58" s="21"/>
      <c r="V58" s="20"/>
      <c r="W58" s="20"/>
      <c r="X58" s="20"/>
      <c r="Y58" s="20"/>
      <c r="Z58" s="20"/>
      <c r="AA58" s="20"/>
      <c r="AB58" s="20"/>
      <c r="AC58" s="20"/>
      <c r="AD58" s="10"/>
      <c r="AE58" s="20"/>
      <c r="AF58" s="1"/>
      <c r="AG58" s="1"/>
      <c r="AH58" s="1"/>
      <c r="AI58" s="1"/>
      <c r="AJ58" s="1"/>
      <c r="AK58" s="1"/>
      <c r="AL58" s="1"/>
      <c r="AM58" s="1"/>
    </row>
    <row r="59" spans="1:39" ht="12.75">
      <c r="A59" s="5"/>
      <c r="B59" s="95"/>
      <c r="C59" s="20"/>
      <c r="D59" s="10"/>
      <c r="E59" s="21"/>
      <c r="F59" s="21"/>
      <c r="G59" s="20"/>
      <c r="H59" s="20"/>
      <c r="I59" s="63"/>
      <c r="J59" s="20"/>
      <c r="K59" s="20"/>
      <c r="L59" s="20"/>
      <c r="M59" s="20"/>
      <c r="N59" s="20"/>
      <c r="O59" s="20"/>
      <c r="P59" s="53"/>
      <c r="Q59" s="20"/>
      <c r="R59" s="20"/>
      <c r="S59" s="21"/>
      <c r="T59" s="21"/>
      <c r="U59" s="21"/>
      <c r="V59" s="20"/>
      <c r="W59" s="20"/>
      <c r="X59" s="20"/>
      <c r="Y59" s="20"/>
      <c r="Z59" s="20"/>
      <c r="AA59" s="20"/>
      <c r="AB59" s="20"/>
      <c r="AC59" s="20"/>
      <c r="AD59" s="10"/>
      <c r="AE59" s="20"/>
      <c r="AF59" s="1"/>
      <c r="AG59" s="1"/>
      <c r="AH59" s="1"/>
      <c r="AI59" s="1"/>
      <c r="AJ59" s="1"/>
      <c r="AK59" s="1"/>
      <c r="AL59" s="1"/>
      <c r="AM59" s="1"/>
    </row>
    <row r="60" spans="1:39" ht="12.75">
      <c r="A60" s="5"/>
      <c r="B60" s="95"/>
      <c r="C60" s="20"/>
      <c r="D60" s="10"/>
      <c r="E60" s="21"/>
      <c r="F60" s="21"/>
      <c r="G60" s="20"/>
      <c r="H60" s="20"/>
      <c r="I60" s="63"/>
      <c r="J60" s="20"/>
      <c r="K60" s="20"/>
      <c r="L60" s="20"/>
      <c r="M60" s="20"/>
      <c r="N60" s="20"/>
      <c r="O60" s="20"/>
      <c r="P60" s="53"/>
      <c r="Q60" s="20"/>
      <c r="R60" s="20"/>
      <c r="S60" s="21"/>
      <c r="T60" s="21"/>
      <c r="U60" s="21"/>
      <c r="V60" s="20"/>
      <c r="W60" s="20"/>
      <c r="X60" s="20"/>
      <c r="Y60" s="20"/>
      <c r="Z60" s="20"/>
      <c r="AA60" s="20"/>
      <c r="AB60" s="20"/>
      <c r="AC60" s="20"/>
      <c r="AD60" s="10"/>
      <c r="AE60" s="20"/>
      <c r="AF60" s="1"/>
      <c r="AG60" s="1"/>
      <c r="AH60" s="1"/>
      <c r="AI60" s="1"/>
      <c r="AJ60" s="1"/>
      <c r="AK60" s="1"/>
      <c r="AL60" s="1"/>
      <c r="AM60" s="1"/>
    </row>
    <row r="61" spans="1:39" ht="12.75">
      <c r="A61" s="5"/>
      <c r="B61" s="95"/>
      <c r="C61" s="20"/>
      <c r="D61" s="10"/>
      <c r="E61" s="21"/>
      <c r="F61" s="21"/>
      <c r="G61" s="20"/>
      <c r="H61" s="20"/>
      <c r="I61" s="63"/>
      <c r="J61" s="20"/>
      <c r="K61" s="20"/>
      <c r="L61" s="20"/>
      <c r="M61" s="20"/>
      <c r="N61" s="20"/>
      <c r="O61" s="20"/>
      <c r="P61" s="53"/>
      <c r="Q61" s="20"/>
      <c r="R61" s="20"/>
      <c r="S61" s="21"/>
      <c r="T61" s="21"/>
      <c r="U61" s="21"/>
      <c r="V61" s="20"/>
      <c r="W61" s="20"/>
      <c r="X61" s="20"/>
      <c r="Y61" s="20"/>
      <c r="Z61" s="20"/>
      <c r="AA61" s="20"/>
      <c r="AB61" s="20"/>
      <c r="AC61" s="20"/>
      <c r="AD61" s="10"/>
      <c r="AE61" s="20"/>
      <c r="AF61" s="1"/>
      <c r="AG61" s="1"/>
      <c r="AH61" s="1"/>
      <c r="AI61" s="1"/>
      <c r="AJ61" s="1"/>
      <c r="AK61" s="1"/>
      <c r="AL61" s="1"/>
      <c r="AM61" s="1"/>
    </row>
    <row r="62" spans="1:39" ht="12.75">
      <c r="A62" s="5"/>
      <c r="B62" s="95"/>
      <c r="C62" s="20"/>
      <c r="D62" s="10"/>
      <c r="E62" s="21"/>
      <c r="F62" s="21"/>
      <c r="G62" s="20"/>
      <c r="H62" s="20"/>
      <c r="I62" s="63"/>
      <c r="J62" s="20"/>
      <c r="K62" s="20"/>
      <c r="L62" s="20"/>
      <c r="M62" s="20"/>
      <c r="N62" s="20"/>
      <c r="O62" s="20"/>
      <c r="P62" s="53"/>
      <c r="Q62" s="20"/>
      <c r="R62" s="20"/>
      <c r="S62" s="21"/>
      <c r="T62" s="21"/>
      <c r="U62" s="21"/>
      <c r="V62" s="20"/>
      <c r="W62" s="20"/>
      <c r="X62" s="20"/>
      <c r="Y62" s="20"/>
      <c r="Z62" s="20"/>
      <c r="AA62" s="20"/>
      <c r="AB62" s="20"/>
      <c r="AC62" s="20"/>
      <c r="AD62" s="10"/>
      <c r="AE62" s="20"/>
      <c r="AF62" s="1"/>
      <c r="AG62" s="1"/>
      <c r="AH62" s="1"/>
      <c r="AI62" s="1"/>
      <c r="AJ62" s="1"/>
      <c r="AK62" s="1"/>
      <c r="AL62" s="1"/>
      <c r="AM62" s="1"/>
    </row>
    <row r="63" spans="1:39" ht="12.75">
      <c r="A63" s="5"/>
      <c r="B63" s="95"/>
      <c r="C63" s="20"/>
      <c r="D63" s="10"/>
      <c r="E63" s="21"/>
      <c r="F63" s="21"/>
      <c r="G63" s="20"/>
      <c r="H63" s="20"/>
      <c r="I63" s="63"/>
      <c r="J63" s="20"/>
      <c r="K63" s="20"/>
      <c r="L63" s="20"/>
      <c r="M63" s="20"/>
      <c r="N63" s="20"/>
      <c r="O63" s="20"/>
      <c r="P63" s="53"/>
      <c r="Q63" s="20"/>
      <c r="R63" s="20"/>
      <c r="S63" s="21"/>
      <c r="T63" s="21"/>
      <c r="U63" s="21"/>
      <c r="V63" s="20"/>
      <c r="W63" s="20"/>
      <c r="X63" s="20"/>
      <c r="Y63" s="20"/>
      <c r="Z63" s="20"/>
      <c r="AA63" s="20"/>
      <c r="AB63" s="20"/>
      <c r="AC63" s="20"/>
      <c r="AD63" s="10"/>
      <c r="AE63" s="20"/>
      <c r="AF63" s="1"/>
      <c r="AG63" s="1"/>
      <c r="AH63" s="1"/>
      <c r="AI63" s="1"/>
      <c r="AJ63" s="1"/>
      <c r="AK63" s="1"/>
      <c r="AL63" s="1"/>
      <c r="AM63" s="1"/>
    </row>
    <row r="64" spans="1:39" ht="12.75">
      <c r="A64" s="5"/>
      <c r="B64" s="95"/>
      <c r="C64" s="20"/>
      <c r="D64" s="10"/>
      <c r="E64" s="21"/>
      <c r="F64" s="21"/>
      <c r="G64" s="20"/>
      <c r="H64" s="20"/>
      <c r="I64" s="63"/>
      <c r="J64" s="20"/>
      <c r="K64" s="20"/>
      <c r="L64" s="20"/>
      <c r="M64" s="20"/>
      <c r="N64" s="20"/>
      <c r="O64" s="20"/>
      <c r="P64" s="53"/>
      <c r="Q64" s="20"/>
      <c r="R64" s="20"/>
      <c r="S64" s="21"/>
      <c r="T64" s="21"/>
      <c r="U64" s="21"/>
      <c r="V64" s="20"/>
      <c r="W64" s="20"/>
      <c r="X64" s="20"/>
      <c r="Y64" s="20"/>
      <c r="Z64" s="20"/>
      <c r="AA64" s="20"/>
      <c r="AB64" s="20"/>
      <c r="AC64" s="20"/>
      <c r="AD64" s="10"/>
      <c r="AE64" s="20"/>
      <c r="AF64" s="1"/>
      <c r="AG64" s="1"/>
      <c r="AH64" s="1"/>
      <c r="AI64" s="1"/>
      <c r="AJ64" s="1"/>
      <c r="AK64" s="1"/>
      <c r="AL64" s="1"/>
      <c r="AM64" s="1"/>
    </row>
    <row r="65" spans="1:39" ht="12.75">
      <c r="A65" s="5"/>
      <c r="B65" s="95"/>
      <c r="C65" s="20"/>
      <c r="D65" s="10"/>
      <c r="E65" s="21"/>
      <c r="F65" s="21"/>
      <c r="G65" s="20"/>
      <c r="H65" s="20"/>
      <c r="I65" s="20"/>
      <c r="J65" s="20"/>
      <c r="K65" s="20"/>
      <c r="L65" s="20"/>
      <c r="M65" s="20"/>
      <c r="N65" s="20"/>
      <c r="O65" s="20"/>
      <c r="P65" s="53"/>
      <c r="Q65" s="20"/>
      <c r="R65" s="20"/>
      <c r="S65" s="21"/>
      <c r="T65" s="21"/>
      <c r="U65" s="21"/>
      <c r="V65" s="19"/>
      <c r="W65" s="20"/>
      <c r="X65" s="20"/>
      <c r="Y65" s="20"/>
      <c r="Z65" s="20"/>
      <c r="AA65" s="20"/>
      <c r="AB65" s="20"/>
      <c r="AC65" s="20"/>
      <c r="AD65" s="10"/>
      <c r="AE65" s="20"/>
      <c r="AF65" s="1"/>
      <c r="AG65" s="1"/>
      <c r="AH65" s="1"/>
      <c r="AI65" s="1"/>
      <c r="AJ65" s="1"/>
      <c r="AK65" s="1"/>
      <c r="AL65" s="1"/>
      <c r="AM65" s="1"/>
    </row>
    <row r="66" spans="1:39" ht="12.75">
      <c r="A66" s="5"/>
      <c r="B66" s="95"/>
      <c r="C66" s="20"/>
      <c r="D66" s="10"/>
      <c r="E66" s="21"/>
      <c r="F66" s="21"/>
      <c r="G66" s="20"/>
      <c r="H66" s="20"/>
      <c r="I66" s="20"/>
      <c r="J66" s="20"/>
      <c r="K66" s="20"/>
      <c r="L66" s="20"/>
      <c r="M66" s="20"/>
      <c r="N66" s="20"/>
      <c r="O66" s="20"/>
      <c r="P66" s="53"/>
      <c r="Q66" s="20"/>
      <c r="R66" s="20"/>
      <c r="S66" s="21"/>
      <c r="T66" s="21"/>
      <c r="U66" s="21"/>
      <c r="V66" s="20"/>
      <c r="W66" s="20"/>
      <c r="X66" s="20"/>
      <c r="Y66" s="20"/>
      <c r="Z66" s="20"/>
      <c r="AA66" s="20"/>
      <c r="AB66" s="20"/>
      <c r="AC66" s="20"/>
      <c r="AD66" s="10"/>
      <c r="AE66" s="20"/>
      <c r="AF66" s="1"/>
      <c r="AG66" s="1"/>
      <c r="AH66" s="1"/>
      <c r="AI66" s="1"/>
      <c r="AJ66" s="1"/>
      <c r="AK66" s="1"/>
      <c r="AL66" s="1"/>
      <c r="AM66" s="1"/>
    </row>
    <row r="67" spans="1:39" ht="12.75">
      <c r="A67" s="10"/>
      <c r="B67" s="95"/>
      <c r="C67" s="20"/>
      <c r="D67" s="10"/>
      <c r="E67" s="21"/>
      <c r="F67" s="21"/>
      <c r="G67" s="20"/>
      <c r="H67" s="20"/>
      <c r="I67" s="20"/>
      <c r="J67" s="20"/>
      <c r="K67" s="20"/>
      <c r="L67" s="20"/>
      <c r="M67" s="20"/>
      <c r="N67" s="20"/>
      <c r="O67" s="20"/>
      <c r="P67" s="20"/>
      <c r="Q67" s="20"/>
      <c r="R67" s="20"/>
      <c r="S67" s="21"/>
      <c r="T67" s="21"/>
      <c r="U67" s="21"/>
      <c r="V67" s="20"/>
      <c r="W67" s="20"/>
      <c r="X67" s="20"/>
      <c r="Y67" s="20"/>
      <c r="Z67" s="20"/>
      <c r="AA67" s="20"/>
      <c r="AB67" s="20"/>
      <c r="AC67" s="20"/>
      <c r="AD67" s="10"/>
      <c r="AE67" s="20"/>
      <c r="AF67" s="1"/>
      <c r="AG67" s="1"/>
      <c r="AH67" s="1"/>
      <c r="AI67" s="1"/>
      <c r="AJ67" s="1"/>
      <c r="AK67" s="1"/>
      <c r="AL67" s="1"/>
      <c r="AM67" s="1"/>
    </row>
    <row r="68" spans="1:39" ht="12.75">
      <c r="A68" s="5"/>
      <c r="B68" s="95"/>
      <c r="C68" s="20"/>
      <c r="D68" s="10"/>
      <c r="E68" s="21"/>
      <c r="F68" s="21"/>
      <c r="G68" s="20"/>
      <c r="H68" s="20"/>
      <c r="I68" s="20"/>
      <c r="J68" s="20"/>
      <c r="K68" s="20"/>
      <c r="L68" s="20"/>
      <c r="M68" s="20"/>
      <c r="N68" s="20"/>
      <c r="O68" s="20"/>
      <c r="P68" s="53"/>
      <c r="Q68" s="20"/>
      <c r="R68" s="20"/>
      <c r="S68" s="21"/>
      <c r="T68" s="21"/>
      <c r="U68" s="21"/>
      <c r="V68" s="20"/>
      <c r="W68" s="20"/>
      <c r="X68" s="20"/>
      <c r="Y68" s="20"/>
      <c r="Z68" s="20"/>
      <c r="AA68" s="20"/>
      <c r="AB68" s="20"/>
      <c r="AC68" s="20"/>
      <c r="AD68" s="10"/>
      <c r="AE68" s="20"/>
      <c r="AF68" s="1"/>
      <c r="AG68" s="1"/>
      <c r="AH68" s="1"/>
      <c r="AI68" s="1"/>
      <c r="AJ68" s="1"/>
      <c r="AK68" s="1"/>
      <c r="AL68" s="1"/>
      <c r="AM68" s="1"/>
    </row>
    <row r="69" spans="1:39" ht="12.75">
      <c r="A69" s="5"/>
      <c r="B69" s="95"/>
      <c r="C69" s="20"/>
      <c r="D69" s="10"/>
      <c r="E69" s="21"/>
      <c r="F69" s="21"/>
      <c r="G69" s="20"/>
      <c r="H69" s="20"/>
      <c r="I69" s="20"/>
      <c r="J69" s="20"/>
      <c r="K69" s="20"/>
      <c r="L69" s="20"/>
      <c r="M69" s="20"/>
      <c r="N69" s="20"/>
      <c r="O69" s="20"/>
      <c r="P69" s="53"/>
      <c r="Q69" s="20"/>
      <c r="R69" s="20"/>
      <c r="S69" s="21"/>
      <c r="T69" s="21"/>
      <c r="U69" s="21"/>
      <c r="V69" s="20"/>
      <c r="W69" s="20"/>
      <c r="X69" s="20"/>
      <c r="Y69" s="20"/>
      <c r="Z69" s="20"/>
      <c r="AA69" s="20"/>
      <c r="AB69" s="20"/>
      <c r="AC69" s="20"/>
      <c r="AD69" s="10"/>
      <c r="AE69" s="20"/>
      <c r="AF69" s="1"/>
      <c r="AG69" s="1"/>
      <c r="AH69" s="1"/>
      <c r="AI69" s="1"/>
      <c r="AJ69" s="1"/>
      <c r="AK69" s="1"/>
      <c r="AL69" s="1"/>
      <c r="AM69" s="1"/>
    </row>
    <row r="70" spans="1:39" ht="12.75">
      <c r="A70" s="5"/>
      <c r="B70" s="95"/>
      <c r="C70" s="20"/>
      <c r="D70" s="10"/>
      <c r="E70" s="21"/>
      <c r="F70" s="21"/>
      <c r="G70" s="20"/>
      <c r="H70" s="20"/>
      <c r="I70" s="20"/>
      <c r="J70" s="20"/>
      <c r="K70" s="20"/>
      <c r="L70" s="20"/>
      <c r="M70" s="20"/>
      <c r="N70" s="20"/>
      <c r="O70" s="20"/>
      <c r="P70" s="53"/>
      <c r="Q70" s="20"/>
      <c r="R70" s="20"/>
      <c r="S70" s="21"/>
      <c r="T70" s="21"/>
      <c r="U70" s="21"/>
      <c r="V70" s="20"/>
      <c r="W70" s="20"/>
      <c r="X70" s="20"/>
      <c r="Y70" s="20"/>
      <c r="Z70" s="20"/>
      <c r="AA70" s="20"/>
      <c r="AB70" s="20"/>
      <c r="AC70" s="20"/>
      <c r="AD70" s="10"/>
      <c r="AE70" s="20"/>
      <c r="AF70" s="1"/>
      <c r="AG70" s="1"/>
      <c r="AH70" s="1"/>
      <c r="AI70" s="1"/>
      <c r="AJ70" s="1"/>
      <c r="AK70" s="1"/>
      <c r="AL70" s="1"/>
      <c r="AM70" s="1"/>
    </row>
    <row r="71" spans="1:39" ht="12.75">
      <c r="A71" s="5"/>
      <c r="B71" s="95"/>
      <c r="C71" s="20"/>
      <c r="D71" s="10"/>
      <c r="E71" s="21"/>
      <c r="F71" s="21"/>
      <c r="G71" s="20"/>
      <c r="H71" s="20"/>
      <c r="I71" s="20"/>
      <c r="J71" s="20"/>
      <c r="K71" s="20"/>
      <c r="L71" s="20"/>
      <c r="M71" s="20"/>
      <c r="N71" s="20"/>
      <c r="O71" s="20"/>
      <c r="P71" s="53"/>
      <c r="Q71" s="20"/>
      <c r="R71" s="20"/>
      <c r="S71" s="21"/>
      <c r="T71" s="21"/>
      <c r="U71" s="21"/>
      <c r="V71" s="20"/>
      <c r="W71" s="20"/>
      <c r="X71" s="20"/>
      <c r="Y71" s="20"/>
      <c r="Z71" s="20"/>
      <c r="AA71" s="20"/>
      <c r="AB71" s="20"/>
      <c r="AC71" s="20"/>
      <c r="AD71" s="10"/>
      <c r="AE71" s="20"/>
      <c r="AF71" s="1"/>
      <c r="AG71" s="1"/>
      <c r="AH71" s="1"/>
      <c r="AI71" s="1"/>
      <c r="AJ71" s="1"/>
      <c r="AK71" s="1"/>
      <c r="AL71" s="1"/>
      <c r="AM71" s="1"/>
    </row>
    <row r="72" spans="1:39" ht="12.75">
      <c r="A72" s="5"/>
      <c r="B72" s="95"/>
      <c r="C72" s="20"/>
      <c r="D72" s="10"/>
      <c r="E72" s="21"/>
      <c r="F72" s="21"/>
      <c r="G72" s="20"/>
      <c r="H72" s="20"/>
      <c r="I72" s="20"/>
      <c r="J72" s="20"/>
      <c r="K72" s="20"/>
      <c r="L72" s="20"/>
      <c r="M72" s="20"/>
      <c r="N72" s="20"/>
      <c r="O72" s="20"/>
      <c r="P72" s="53"/>
      <c r="Q72" s="20"/>
      <c r="R72" s="20"/>
      <c r="S72" s="21"/>
      <c r="T72" s="21"/>
      <c r="U72" s="21"/>
      <c r="V72" s="20"/>
      <c r="W72" s="20"/>
      <c r="X72" s="20"/>
      <c r="Y72" s="20"/>
      <c r="Z72" s="20"/>
      <c r="AA72" s="20"/>
      <c r="AB72" s="20"/>
      <c r="AC72" s="20"/>
      <c r="AD72" s="10"/>
      <c r="AE72" s="20"/>
      <c r="AF72" s="1"/>
      <c r="AG72" s="1"/>
      <c r="AH72" s="1"/>
      <c r="AI72" s="1"/>
      <c r="AJ72" s="1"/>
      <c r="AK72" s="1"/>
      <c r="AL72" s="1"/>
      <c r="AM72" s="1"/>
    </row>
    <row r="73" spans="1:39" ht="12.75">
      <c r="A73" s="5"/>
      <c r="B73" s="95"/>
      <c r="C73" s="20"/>
      <c r="D73" s="10"/>
      <c r="E73" s="21"/>
      <c r="F73" s="21"/>
      <c r="G73" s="20"/>
      <c r="H73" s="20"/>
      <c r="I73" s="20"/>
      <c r="J73" s="20"/>
      <c r="K73" s="20"/>
      <c r="L73" s="20"/>
      <c r="M73" s="20"/>
      <c r="N73" s="20"/>
      <c r="O73" s="20"/>
      <c r="P73" s="53"/>
      <c r="Q73" s="20"/>
      <c r="R73" s="20"/>
      <c r="S73" s="21"/>
      <c r="T73" s="21"/>
      <c r="U73" s="21"/>
      <c r="V73" s="20"/>
      <c r="W73" s="20"/>
      <c r="X73" s="20"/>
      <c r="Y73" s="20"/>
      <c r="Z73" s="20"/>
      <c r="AA73" s="20"/>
      <c r="AB73" s="20"/>
      <c r="AC73" s="20"/>
      <c r="AD73" s="10"/>
      <c r="AE73" s="20"/>
      <c r="AF73" s="1"/>
      <c r="AG73" s="1"/>
      <c r="AH73" s="1"/>
      <c r="AI73" s="1"/>
      <c r="AJ73" s="1"/>
      <c r="AK73" s="1"/>
      <c r="AL73" s="1"/>
      <c r="AM73" s="1"/>
    </row>
    <row r="74" spans="1:39" ht="12.75">
      <c r="A74" s="5"/>
      <c r="B74" s="95"/>
      <c r="C74" s="20"/>
      <c r="D74" s="10"/>
      <c r="E74" s="21"/>
      <c r="F74" s="21"/>
      <c r="G74" s="20"/>
      <c r="H74" s="20"/>
      <c r="I74" s="20"/>
      <c r="J74" s="20"/>
      <c r="K74" s="20"/>
      <c r="L74" s="20"/>
      <c r="M74" s="20"/>
      <c r="N74" s="20"/>
      <c r="O74" s="20"/>
      <c r="P74" s="53"/>
      <c r="Q74" s="20"/>
      <c r="R74" s="20"/>
      <c r="S74" s="21"/>
      <c r="T74" s="21"/>
      <c r="U74" s="21"/>
      <c r="V74" s="20"/>
      <c r="W74" s="20"/>
      <c r="X74" s="20"/>
      <c r="Y74" s="20"/>
      <c r="Z74" s="20"/>
      <c r="AA74" s="20"/>
      <c r="AB74" s="20"/>
      <c r="AC74" s="20"/>
      <c r="AD74" s="10"/>
      <c r="AE74" s="20"/>
      <c r="AF74" s="1"/>
      <c r="AG74" s="1"/>
      <c r="AH74" s="1"/>
      <c r="AI74" s="1"/>
      <c r="AJ74" s="1"/>
      <c r="AK74" s="1"/>
      <c r="AL74" s="1"/>
      <c r="AM74" s="1"/>
    </row>
    <row r="75" spans="1:39" ht="12.75">
      <c r="A75" s="5"/>
      <c r="B75" s="95"/>
      <c r="C75" s="20"/>
      <c r="D75" s="10"/>
      <c r="E75" s="21"/>
      <c r="F75" s="21"/>
      <c r="G75" s="20"/>
      <c r="H75" s="20"/>
      <c r="I75" s="20"/>
      <c r="J75" s="20"/>
      <c r="K75" s="20"/>
      <c r="L75" s="20"/>
      <c r="M75" s="20"/>
      <c r="N75" s="20"/>
      <c r="O75" s="20"/>
      <c r="P75" s="53"/>
      <c r="Q75" s="20"/>
      <c r="R75" s="20"/>
      <c r="S75" s="21"/>
      <c r="T75" s="21"/>
      <c r="U75" s="21"/>
      <c r="V75" s="20"/>
      <c r="W75" s="20"/>
      <c r="X75" s="20"/>
      <c r="Y75" s="20"/>
      <c r="Z75" s="20"/>
      <c r="AA75" s="20"/>
      <c r="AB75" s="20"/>
      <c r="AC75" s="20"/>
      <c r="AD75" s="10"/>
      <c r="AE75" s="20"/>
      <c r="AF75" s="1"/>
      <c r="AG75" s="1"/>
      <c r="AH75" s="1"/>
      <c r="AI75" s="1"/>
      <c r="AJ75" s="1"/>
      <c r="AK75" s="1"/>
      <c r="AL75" s="1"/>
      <c r="AM75" s="1"/>
    </row>
    <row r="76" spans="1:39" ht="12.75">
      <c r="A76" s="5"/>
      <c r="B76" s="95"/>
      <c r="C76" s="20"/>
      <c r="D76" s="10"/>
      <c r="E76" s="21"/>
      <c r="F76" s="21"/>
      <c r="G76" s="20"/>
      <c r="H76" s="20"/>
      <c r="I76" s="20"/>
      <c r="J76" s="20"/>
      <c r="K76" s="20"/>
      <c r="L76" s="20"/>
      <c r="M76" s="20"/>
      <c r="N76" s="20"/>
      <c r="O76" s="20"/>
      <c r="P76" s="53"/>
      <c r="Q76" s="20"/>
      <c r="R76" s="20"/>
      <c r="S76" s="21"/>
      <c r="T76" s="21"/>
      <c r="U76" s="21"/>
      <c r="V76" s="20"/>
      <c r="W76" s="20"/>
      <c r="X76" s="20"/>
      <c r="Y76" s="20"/>
      <c r="Z76" s="20"/>
      <c r="AA76" s="20"/>
      <c r="AB76" s="20"/>
      <c r="AC76" s="20"/>
      <c r="AD76" s="10"/>
      <c r="AE76" s="20"/>
      <c r="AF76" s="1"/>
      <c r="AG76" s="1"/>
      <c r="AH76" s="1"/>
      <c r="AI76" s="1"/>
      <c r="AJ76" s="1"/>
      <c r="AK76" s="1"/>
      <c r="AL76" s="1"/>
      <c r="AM76" s="1"/>
    </row>
    <row r="77" spans="1:39" ht="12.75">
      <c r="A77" s="5"/>
      <c r="B77" s="95"/>
      <c r="C77" s="20"/>
      <c r="D77" s="10"/>
      <c r="E77" s="21"/>
      <c r="F77" s="21"/>
      <c r="G77" s="20"/>
      <c r="H77" s="20"/>
      <c r="I77" s="20"/>
      <c r="J77" s="20"/>
      <c r="K77" s="20"/>
      <c r="L77" s="20"/>
      <c r="M77" s="20"/>
      <c r="N77" s="20"/>
      <c r="O77" s="20"/>
      <c r="P77" s="53"/>
      <c r="Q77" s="20"/>
      <c r="R77" s="20"/>
      <c r="S77" s="21"/>
      <c r="T77" s="21"/>
      <c r="U77" s="21"/>
      <c r="V77" s="20"/>
      <c r="W77" s="20"/>
      <c r="X77" s="20"/>
      <c r="Y77" s="20"/>
      <c r="Z77" s="20"/>
      <c r="AA77" s="20"/>
      <c r="AB77" s="20"/>
      <c r="AC77" s="20"/>
      <c r="AD77" s="10"/>
      <c r="AE77" s="20"/>
      <c r="AF77" s="1"/>
      <c r="AG77" s="1"/>
      <c r="AH77" s="1"/>
      <c r="AI77" s="1"/>
      <c r="AJ77" s="1"/>
      <c r="AK77" s="1"/>
      <c r="AL77" s="1"/>
      <c r="AM77" s="1"/>
    </row>
    <row r="78" spans="1:39" ht="12.75">
      <c r="A78" s="5"/>
      <c r="B78" s="95"/>
      <c r="C78" s="20"/>
      <c r="D78" s="10"/>
      <c r="E78" s="21"/>
      <c r="F78" s="21"/>
      <c r="G78" s="20"/>
      <c r="H78" s="20"/>
      <c r="I78" s="20"/>
      <c r="J78" s="20"/>
      <c r="K78" s="20"/>
      <c r="L78" s="20"/>
      <c r="M78" s="20"/>
      <c r="N78" s="20"/>
      <c r="O78" s="20"/>
      <c r="P78" s="53"/>
      <c r="Q78" s="20"/>
      <c r="R78" s="20"/>
      <c r="S78" s="21"/>
      <c r="T78" s="21"/>
      <c r="U78" s="21"/>
      <c r="V78" s="20"/>
      <c r="W78" s="20"/>
      <c r="X78" s="20"/>
      <c r="Y78" s="20"/>
      <c r="Z78" s="20"/>
      <c r="AA78" s="20"/>
      <c r="AB78" s="20"/>
      <c r="AC78" s="20"/>
      <c r="AD78" s="10"/>
      <c r="AE78" s="20"/>
      <c r="AF78" s="1"/>
      <c r="AG78" s="1"/>
      <c r="AH78" s="1"/>
      <c r="AI78" s="1"/>
      <c r="AJ78" s="1"/>
      <c r="AK78" s="1"/>
      <c r="AL78" s="1"/>
      <c r="AM78" s="1"/>
    </row>
    <row r="79" spans="1:39" ht="12.75">
      <c r="A79" s="5"/>
      <c r="B79" s="95"/>
      <c r="C79" s="20"/>
      <c r="D79" s="10"/>
      <c r="E79" s="21"/>
      <c r="F79" s="21"/>
      <c r="G79" s="20"/>
      <c r="H79" s="20"/>
      <c r="I79" s="20"/>
      <c r="J79" s="20"/>
      <c r="K79" s="20"/>
      <c r="L79" s="20"/>
      <c r="M79" s="20"/>
      <c r="N79" s="20"/>
      <c r="O79" s="20"/>
      <c r="P79" s="53"/>
      <c r="Q79" s="20"/>
      <c r="R79" s="20"/>
      <c r="S79" s="21"/>
      <c r="T79" s="21"/>
      <c r="U79" s="21"/>
      <c r="V79" s="20"/>
      <c r="W79" s="20"/>
      <c r="X79" s="20"/>
      <c r="Y79" s="20"/>
      <c r="Z79" s="20"/>
      <c r="AA79" s="20"/>
      <c r="AB79" s="20"/>
      <c r="AC79" s="20"/>
      <c r="AD79" s="10"/>
      <c r="AE79" s="20"/>
      <c r="AF79" s="1"/>
      <c r="AG79" s="1"/>
      <c r="AH79" s="1"/>
      <c r="AI79" s="1"/>
      <c r="AJ79" s="1"/>
      <c r="AK79" s="1"/>
      <c r="AL79" s="1"/>
      <c r="AM79" s="1"/>
    </row>
    <row r="80" spans="1:39" ht="12.75">
      <c r="A80" s="5"/>
      <c r="B80" s="95"/>
      <c r="C80" s="20"/>
      <c r="D80" s="10"/>
      <c r="E80" s="21"/>
      <c r="F80" s="21"/>
      <c r="G80" s="20"/>
      <c r="H80" s="20"/>
      <c r="I80" s="20"/>
      <c r="J80" s="20"/>
      <c r="K80" s="20"/>
      <c r="L80" s="20"/>
      <c r="M80" s="20"/>
      <c r="N80" s="20"/>
      <c r="O80" s="20"/>
      <c r="P80" s="53"/>
      <c r="Q80" s="20"/>
      <c r="R80" s="20"/>
      <c r="S80" s="21"/>
      <c r="T80" s="21"/>
      <c r="U80" s="21"/>
      <c r="V80" s="20"/>
      <c r="W80" s="20"/>
      <c r="X80" s="20"/>
      <c r="Y80" s="20"/>
      <c r="Z80" s="20"/>
      <c r="AA80" s="20"/>
      <c r="AB80" s="20"/>
      <c r="AC80" s="20"/>
      <c r="AD80" s="10"/>
      <c r="AE80" s="20"/>
      <c r="AF80" s="1"/>
      <c r="AG80" s="1"/>
      <c r="AH80" s="1"/>
      <c r="AI80" s="1"/>
      <c r="AJ80" s="1"/>
      <c r="AK80" s="1"/>
      <c r="AL80" s="1"/>
      <c r="AM80" s="1"/>
    </row>
    <row r="81" spans="1:39" ht="12.75">
      <c r="A81" s="5"/>
      <c r="B81" s="95"/>
      <c r="C81" s="20"/>
      <c r="D81" s="10"/>
      <c r="E81" s="21"/>
      <c r="F81" s="21"/>
      <c r="G81" s="20"/>
      <c r="H81" s="20"/>
      <c r="I81" s="20"/>
      <c r="J81" s="20"/>
      <c r="K81" s="20"/>
      <c r="L81" s="20"/>
      <c r="M81" s="20"/>
      <c r="N81" s="20"/>
      <c r="O81" s="20"/>
      <c r="P81" s="53"/>
      <c r="Q81" s="20"/>
      <c r="R81" s="20"/>
      <c r="S81" s="21"/>
      <c r="T81" s="21"/>
      <c r="U81" s="21"/>
      <c r="V81" s="20"/>
      <c r="W81" s="20"/>
      <c r="X81" s="20"/>
      <c r="Y81" s="20"/>
      <c r="Z81" s="20"/>
      <c r="AA81" s="20"/>
      <c r="AB81" s="20"/>
      <c r="AC81" s="20"/>
      <c r="AD81" s="10"/>
      <c r="AE81" s="20"/>
      <c r="AF81" s="1"/>
      <c r="AG81" s="1"/>
      <c r="AH81" s="1"/>
      <c r="AI81" s="1"/>
      <c r="AJ81" s="1"/>
      <c r="AK81" s="1"/>
      <c r="AL81" s="1"/>
      <c r="AM81" s="1"/>
    </row>
    <row r="82" spans="1:39" ht="12.75">
      <c r="A82" s="5"/>
      <c r="B82" s="95"/>
      <c r="C82" s="20"/>
      <c r="D82" s="10"/>
      <c r="E82" s="21"/>
      <c r="F82" s="21"/>
      <c r="G82" s="20"/>
      <c r="H82" s="20"/>
      <c r="I82" s="20"/>
      <c r="J82" s="20"/>
      <c r="K82" s="20"/>
      <c r="L82" s="20"/>
      <c r="M82" s="20"/>
      <c r="N82" s="20"/>
      <c r="O82" s="20"/>
      <c r="P82" s="53"/>
      <c r="Q82" s="20"/>
      <c r="R82" s="20"/>
      <c r="S82" s="21"/>
      <c r="T82" s="21"/>
      <c r="U82" s="21"/>
      <c r="V82" s="20"/>
      <c r="W82" s="20"/>
      <c r="X82" s="20"/>
      <c r="Y82" s="20"/>
      <c r="Z82" s="20"/>
      <c r="AA82" s="20"/>
      <c r="AB82" s="20"/>
      <c r="AC82" s="20"/>
      <c r="AD82" s="10"/>
      <c r="AE82" s="20"/>
      <c r="AF82" s="1"/>
      <c r="AG82" s="1"/>
      <c r="AH82" s="1"/>
      <c r="AI82" s="1"/>
      <c r="AJ82" s="1"/>
      <c r="AK82" s="1"/>
      <c r="AL82" s="1"/>
      <c r="AM82" s="1"/>
    </row>
    <row r="83" spans="1:39" ht="12.75">
      <c r="A83" s="5"/>
      <c r="B83" s="95"/>
      <c r="C83" s="20"/>
      <c r="D83" s="10"/>
      <c r="E83" s="21"/>
      <c r="F83" s="21"/>
      <c r="G83" s="20"/>
      <c r="H83" s="20"/>
      <c r="I83" s="20"/>
      <c r="J83" s="20"/>
      <c r="K83" s="20"/>
      <c r="L83" s="20"/>
      <c r="M83" s="20"/>
      <c r="N83" s="20"/>
      <c r="O83" s="20"/>
      <c r="P83" s="53"/>
      <c r="Q83" s="20"/>
      <c r="R83" s="20"/>
      <c r="S83" s="21"/>
      <c r="T83" s="21"/>
      <c r="U83" s="21"/>
      <c r="V83" s="20"/>
      <c r="W83" s="20"/>
      <c r="X83" s="20"/>
      <c r="Y83" s="20"/>
      <c r="Z83" s="20"/>
      <c r="AA83" s="20"/>
      <c r="AB83" s="20"/>
      <c r="AC83" s="20"/>
      <c r="AD83" s="10"/>
      <c r="AE83" s="20"/>
      <c r="AF83" s="1"/>
      <c r="AG83" s="1"/>
      <c r="AH83" s="1"/>
      <c r="AI83" s="1"/>
      <c r="AJ83" s="1"/>
      <c r="AK83" s="1"/>
      <c r="AL83" s="1"/>
      <c r="AM83" s="1"/>
    </row>
    <row r="84" spans="1:39" ht="12.75">
      <c r="A84" s="5"/>
      <c r="B84" s="95"/>
      <c r="C84" s="20"/>
      <c r="D84" s="10"/>
      <c r="E84" s="21"/>
      <c r="F84" s="21"/>
      <c r="G84" s="20"/>
      <c r="H84" s="20"/>
      <c r="I84" s="20"/>
      <c r="J84" s="20"/>
      <c r="K84" s="20"/>
      <c r="L84" s="20"/>
      <c r="M84" s="20"/>
      <c r="N84" s="20"/>
      <c r="O84" s="20"/>
      <c r="P84" s="53"/>
      <c r="Q84" s="20"/>
      <c r="R84" s="20"/>
      <c r="S84" s="21"/>
      <c r="T84" s="21"/>
      <c r="U84" s="21"/>
      <c r="V84" s="20"/>
      <c r="W84" s="20"/>
      <c r="X84" s="20"/>
      <c r="Y84" s="20"/>
      <c r="Z84" s="20"/>
      <c r="AA84" s="20"/>
      <c r="AB84" s="20"/>
      <c r="AC84" s="20"/>
      <c r="AD84" s="10"/>
      <c r="AE84" s="20"/>
      <c r="AF84" s="1"/>
      <c r="AG84" s="1"/>
      <c r="AH84" s="1"/>
      <c r="AI84" s="1"/>
      <c r="AJ84" s="1"/>
      <c r="AK84" s="1"/>
      <c r="AL84" s="1"/>
      <c r="AM84" s="1"/>
    </row>
    <row r="85" spans="1:39" ht="12.75">
      <c r="A85" s="5"/>
      <c r="B85" s="95"/>
      <c r="C85" s="20"/>
      <c r="D85" s="10"/>
      <c r="E85" s="21"/>
      <c r="F85" s="21"/>
      <c r="G85" s="20"/>
      <c r="H85" s="20"/>
      <c r="I85" s="20"/>
      <c r="J85" s="20"/>
      <c r="K85" s="20"/>
      <c r="L85" s="20"/>
      <c r="M85" s="20"/>
      <c r="N85" s="20"/>
      <c r="O85" s="20"/>
      <c r="P85" s="53"/>
      <c r="Q85" s="20"/>
      <c r="R85" s="20"/>
      <c r="S85" s="21"/>
      <c r="T85" s="21"/>
      <c r="U85" s="21"/>
      <c r="V85" s="20"/>
      <c r="W85" s="20"/>
      <c r="X85" s="20"/>
      <c r="Y85" s="20"/>
      <c r="Z85" s="20"/>
      <c r="AA85" s="20"/>
      <c r="AB85" s="20"/>
      <c r="AC85" s="20"/>
      <c r="AD85" s="10"/>
      <c r="AE85" s="20"/>
      <c r="AF85" s="1"/>
      <c r="AG85" s="1"/>
      <c r="AH85" s="1"/>
      <c r="AI85" s="1"/>
      <c r="AJ85" s="1"/>
      <c r="AK85" s="1"/>
      <c r="AL85" s="1"/>
      <c r="AM85" s="1"/>
    </row>
    <row r="86" spans="1:39" ht="12.75">
      <c r="A86" s="5"/>
      <c r="B86" s="95"/>
      <c r="C86" s="20"/>
      <c r="D86" s="10"/>
      <c r="E86" s="21"/>
      <c r="F86" s="21"/>
      <c r="G86" s="20"/>
      <c r="H86" s="20"/>
      <c r="I86" s="20"/>
      <c r="J86" s="20"/>
      <c r="K86" s="20"/>
      <c r="L86" s="20"/>
      <c r="M86" s="20"/>
      <c r="N86" s="20"/>
      <c r="O86" s="20"/>
      <c r="P86" s="53"/>
      <c r="Q86" s="20"/>
      <c r="R86" s="20"/>
      <c r="S86" s="21"/>
      <c r="T86" s="21"/>
      <c r="U86" s="21"/>
      <c r="V86" s="20"/>
      <c r="W86" s="20"/>
      <c r="X86" s="20"/>
      <c r="Y86" s="20"/>
      <c r="Z86" s="20"/>
      <c r="AA86" s="20"/>
      <c r="AB86" s="20"/>
      <c r="AC86" s="20"/>
      <c r="AD86" s="10"/>
      <c r="AE86" s="20"/>
      <c r="AF86" s="1"/>
      <c r="AG86" s="1"/>
      <c r="AH86" s="1"/>
      <c r="AI86" s="1"/>
      <c r="AJ86" s="1"/>
      <c r="AK86" s="1"/>
      <c r="AL86" s="1"/>
      <c r="AM86" s="1"/>
    </row>
    <row r="87" spans="1:39" ht="12.75">
      <c r="A87" s="5"/>
      <c r="B87" s="95"/>
      <c r="C87" s="20"/>
      <c r="D87" s="10"/>
      <c r="E87" s="21"/>
      <c r="F87" s="21"/>
      <c r="G87" s="20"/>
      <c r="H87" s="20"/>
      <c r="I87" s="20"/>
      <c r="J87" s="20"/>
      <c r="K87" s="20"/>
      <c r="L87" s="20"/>
      <c r="M87" s="20"/>
      <c r="N87" s="20"/>
      <c r="O87" s="20"/>
      <c r="P87" s="53"/>
      <c r="Q87" s="20"/>
      <c r="R87" s="20"/>
      <c r="S87" s="21"/>
      <c r="T87" s="21"/>
      <c r="U87" s="21"/>
      <c r="V87" s="20"/>
      <c r="W87" s="20"/>
      <c r="X87" s="20"/>
      <c r="Y87" s="20"/>
      <c r="Z87" s="20"/>
      <c r="AA87" s="20"/>
      <c r="AB87" s="20"/>
      <c r="AC87" s="20"/>
      <c r="AD87" s="10"/>
      <c r="AE87" s="20"/>
      <c r="AF87" s="1"/>
      <c r="AG87" s="1"/>
      <c r="AH87" s="1"/>
      <c r="AI87" s="1"/>
      <c r="AJ87" s="1"/>
      <c r="AK87" s="1"/>
      <c r="AL87" s="1"/>
      <c r="AM87" s="1"/>
    </row>
    <row r="88" spans="1:39" ht="12.75">
      <c r="A88" s="5"/>
      <c r="B88" s="95"/>
      <c r="C88" s="20"/>
      <c r="D88" s="10"/>
      <c r="E88" s="21"/>
      <c r="F88" s="21"/>
      <c r="G88" s="20"/>
      <c r="H88" s="20"/>
      <c r="I88" s="20"/>
      <c r="J88" s="20"/>
      <c r="K88" s="20"/>
      <c r="L88" s="20"/>
      <c r="M88" s="20"/>
      <c r="N88" s="20"/>
      <c r="O88" s="20"/>
      <c r="P88" s="53"/>
      <c r="Q88" s="20"/>
      <c r="R88" s="20"/>
      <c r="S88" s="21"/>
      <c r="T88" s="21"/>
      <c r="U88" s="21"/>
      <c r="V88" s="20"/>
      <c r="W88" s="20"/>
      <c r="X88" s="20"/>
      <c r="Y88" s="20"/>
      <c r="Z88" s="20"/>
      <c r="AA88" s="20"/>
      <c r="AB88" s="20"/>
      <c r="AC88" s="20"/>
      <c r="AD88" s="10"/>
      <c r="AE88" s="20"/>
      <c r="AF88" s="1"/>
      <c r="AG88" s="1"/>
      <c r="AH88" s="1"/>
      <c r="AI88" s="1"/>
      <c r="AJ88" s="1"/>
      <c r="AK88" s="1"/>
      <c r="AL88" s="1"/>
      <c r="AM88" s="1"/>
    </row>
    <row r="89" spans="1:39" ht="12.75">
      <c r="A89" s="5"/>
      <c r="B89" s="95"/>
      <c r="C89" s="20"/>
      <c r="D89" s="10"/>
      <c r="E89" s="21"/>
      <c r="F89" s="21"/>
      <c r="G89" s="20"/>
      <c r="H89" s="20"/>
      <c r="I89" s="20"/>
      <c r="J89" s="20"/>
      <c r="K89" s="20"/>
      <c r="L89" s="20"/>
      <c r="M89" s="20"/>
      <c r="N89" s="20"/>
      <c r="O89" s="20"/>
      <c r="P89" s="53"/>
      <c r="Q89" s="20"/>
      <c r="R89" s="20"/>
      <c r="S89" s="21"/>
      <c r="T89" s="21"/>
      <c r="U89" s="21"/>
      <c r="V89" s="20"/>
      <c r="W89" s="20"/>
      <c r="X89" s="20"/>
      <c r="Y89" s="20"/>
      <c r="Z89" s="20"/>
      <c r="AA89" s="20"/>
      <c r="AB89" s="20"/>
      <c r="AC89" s="20"/>
      <c r="AD89" s="10"/>
      <c r="AE89" s="20"/>
      <c r="AF89" s="1"/>
      <c r="AG89" s="1"/>
      <c r="AH89" s="1"/>
      <c r="AI89" s="1"/>
      <c r="AJ89" s="1"/>
      <c r="AK89" s="1"/>
      <c r="AL89" s="1"/>
      <c r="AM89" s="1"/>
    </row>
    <row r="90" spans="1:39" ht="12.75">
      <c r="A90" s="5"/>
      <c r="B90" s="95"/>
      <c r="C90" s="20"/>
      <c r="D90" s="10"/>
      <c r="E90" s="21"/>
      <c r="F90" s="21"/>
      <c r="G90" s="20"/>
      <c r="H90" s="20"/>
      <c r="I90" s="20"/>
      <c r="J90" s="20"/>
      <c r="K90" s="20"/>
      <c r="L90" s="20"/>
      <c r="M90" s="20"/>
      <c r="N90" s="20"/>
      <c r="O90" s="20"/>
      <c r="P90" s="53"/>
      <c r="Q90" s="20"/>
      <c r="R90" s="20"/>
      <c r="S90" s="21"/>
      <c r="T90" s="21"/>
      <c r="U90" s="21"/>
      <c r="V90" s="20"/>
      <c r="W90" s="20"/>
      <c r="X90" s="20"/>
      <c r="Y90" s="20"/>
      <c r="Z90" s="20"/>
      <c r="AA90" s="20"/>
      <c r="AB90" s="20"/>
      <c r="AC90" s="20"/>
      <c r="AD90" s="10"/>
      <c r="AE90" s="20"/>
      <c r="AF90" s="1"/>
      <c r="AG90" s="1"/>
      <c r="AH90" s="1"/>
      <c r="AI90" s="1"/>
      <c r="AJ90" s="1"/>
      <c r="AK90" s="1"/>
      <c r="AL90" s="1"/>
      <c r="AM90" s="1"/>
    </row>
    <row r="91" spans="1:39" ht="12.75">
      <c r="A91" s="5"/>
      <c r="B91" s="95"/>
      <c r="C91" s="20"/>
      <c r="D91" s="10"/>
      <c r="E91" s="21"/>
      <c r="F91" s="21"/>
      <c r="G91" s="20"/>
      <c r="H91" s="20"/>
      <c r="I91" s="20"/>
      <c r="J91" s="20"/>
      <c r="K91" s="20"/>
      <c r="L91" s="20"/>
      <c r="M91" s="20"/>
      <c r="N91" s="20"/>
      <c r="O91" s="20"/>
      <c r="P91" s="53"/>
      <c r="Q91" s="20"/>
      <c r="R91" s="20"/>
      <c r="S91" s="21"/>
      <c r="T91" s="21"/>
      <c r="U91" s="21"/>
      <c r="V91" s="20"/>
      <c r="W91" s="20"/>
      <c r="X91" s="20"/>
      <c r="Y91" s="20"/>
      <c r="Z91" s="20"/>
      <c r="AA91" s="20"/>
      <c r="AB91" s="20"/>
      <c r="AC91" s="20"/>
      <c r="AD91" s="10"/>
      <c r="AE91" s="20"/>
      <c r="AF91" s="1"/>
      <c r="AG91" s="1"/>
      <c r="AH91" s="1"/>
      <c r="AI91" s="1"/>
      <c r="AJ91" s="1"/>
      <c r="AK91" s="1"/>
      <c r="AL91" s="1"/>
      <c r="AM91" s="1"/>
    </row>
    <row r="92" spans="1:39" ht="12.75">
      <c r="A92" s="5"/>
      <c r="B92" s="95"/>
      <c r="C92" s="20"/>
      <c r="D92" s="10"/>
      <c r="E92" s="21"/>
      <c r="F92" s="21"/>
      <c r="G92" s="20"/>
      <c r="H92" s="20"/>
      <c r="I92" s="20"/>
      <c r="J92" s="20"/>
      <c r="K92" s="20"/>
      <c r="L92" s="20"/>
      <c r="M92" s="20"/>
      <c r="N92" s="20"/>
      <c r="O92" s="20"/>
      <c r="P92" s="53"/>
      <c r="Q92" s="20"/>
      <c r="R92" s="20"/>
      <c r="S92" s="21"/>
      <c r="T92" s="21"/>
      <c r="U92" s="21"/>
      <c r="V92" s="20"/>
      <c r="W92" s="20"/>
      <c r="X92" s="20"/>
      <c r="Y92" s="20"/>
      <c r="Z92" s="20"/>
      <c r="AA92" s="20"/>
      <c r="AB92" s="20"/>
      <c r="AC92" s="20"/>
      <c r="AD92" s="10"/>
      <c r="AE92" s="20"/>
      <c r="AF92" s="1"/>
      <c r="AG92" s="1"/>
      <c r="AH92" s="1"/>
      <c r="AI92" s="1"/>
      <c r="AJ92" s="1"/>
      <c r="AK92" s="1"/>
      <c r="AL92" s="1"/>
      <c r="AM92" s="1"/>
    </row>
    <row r="93" spans="1:39" ht="12.75">
      <c r="A93" s="5"/>
      <c r="B93" s="95"/>
      <c r="C93" s="20"/>
      <c r="D93" s="10"/>
      <c r="E93" s="21"/>
      <c r="F93" s="21"/>
      <c r="G93" s="20"/>
      <c r="H93" s="20"/>
      <c r="I93" s="20"/>
      <c r="J93" s="20"/>
      <c r="K93" s="20"/>
      <c r="L93" s="20"/>
      <c r="M93" s="20"/>
      <c r="N93" s="20"/>
      <c r="O93" s="20"/>
      <c r="P93" s="53"/>
      <c r="Q93" s="20"/>
      <c r="R93" s="20"/>
      <c r="S93" s="21"/>
      <c r="T93" s="21"/>
      <c r="U93" s="21"/>
      <c r="V93" s="20"/>
      <c r="W93" s="20"/>
      <c r="X93" s="20"/>
      <c r="Y93" s="20"/>
      <c r="Z93" s="20"/>
      <c r="AA93" s="20"/>
      <c r="AB93" s="20"/>
      <c r="AC93" s="20"/>
      <c r="AD93" s="10"/>
      <c r="AE93" s="20"/>
      <c r="AF93" s="1"/>
      <c r="AG93" s="1"/>
      <c r="AH93" s="1"/>
      <c r="AI93" s="1"/>
      <c r="AJ93" s="1"/>
      <c r="AK93" s="1"/>
      <c r="AL93" s="1"/>
      <c r="AM93" s="1"/>
    </row>
    <row r="94" spans="1:39" ht="12.75">
      <c r="A94" s="5"/>
      <c r="B94" s="95"/>
      <c r="C94" s="20"/>
      <c r="D94" s="10"/>
      <c r="E94" s="21"/>
      <c r="F94" s="21"/>
      <c r="G94" s="20"/>
      <c r="H94" s="20"/>
      <c r="I94" s="20"/>
      <c r="J94" s="20"/>
      <c r="K94" s="20"/>
      <c r="L94" s="20"/>
      <c r="M94" s="20"/>
      <c r="N94" s="20"/>
      <c r="O94" s="20"/>
      <c r="P94" s="53"/>
      <c r="Q94" s="20"/>
      <c r="R94" s="20"/>
      <c r="S94" s="21"/>
      <c r="T94" s="21"/>
      <c r="U94" s="21"/>
      <c r="V94" s="20"/>
      <c r="W94" s="20"/>
      <c r="X94" s="20"/>
      <c r="Y94" s="20"/>
      <c r="Z94" s="20"/>
      <c r="AA94" s="20"/>
      <c r="AB94" s="20"/>
      <c r="AC94" s="20"/>
      <c r="AD94" s="10"/>
      <c r="AE94" s="20"/>
      <c r="AF94" s="1"/>
      <c r="AG94" s="1"/>
      <c r="AH94" s="1"/>
      <c r="AI94" s="1"/>
      <c r="AJ94" s="1"/>
      <c r="AK94" s="1"/>
      <c r="AL94" s="1"/>
      <c r="AM94" s="1"/>
    </row>
    <row r="95" spans="1:39" ht="12.75">
      <c r="A95" s="5"/>
      <c r="B95" s="95"/>
      <c r="C95" s="20"/>
      <c r="D95" s="10"/>
      <c r="E95" s="21"/>
      <c r="F95" s="21"/>
      <c r="G95" s="20"/>
      <c r="H95" s="20"/>
      <c r="I95" s="20"/>
      <c r="J95" s="20"/>
      <c r="K95" s="20"/>
      <c r="L95" s="20"/>
      <c r="M95" s="20"/>
      <c r="N95" s="20"/>
      <c r="O95" s="20"/>
      <c r="P95" s="53"/>
      <c r="Q95" s="20"/>
      <c r="R95" s="20"/>
      <c r="S95" s="21"/>
      <c r="T95" s="21"/>
      <c r="U95" s="21"/>
      <c r="V95" s="20"/>
      <c r="W95" s="20"/>
      <c r="X95" s="20"/>
      <c r="Y95" s="20"/>
      <c r="Z95" s="20"/>
      <c r="AA95" s="20"/>
      <c r="AB95" s="20"/>
      <c r="AC95" s="20"/>
      <c r="AD95" s="10"/>
      <c r="AE95" s="20"/>
      <c r="AF95" s="1"/>
      <c r="AG95" s="1"/>
      <c r="AH95" s="1"/>
      <c r="AI95" s="1"/>
      <c r="AJ95" s="1"/>
      <c r="AK95" s="1"/>
      <c r="AL95" s="1"/>
      <c r="AM95" s="1"/>
    </row>
    <row r="96" spans="1:39" ht="12.75">
      <c r="A96" s="5"/>
      <c r="B96" s="95"/>
      <c r="C96" s="20"/>
      <c r="D96" s="10"/>
      <c r="E96" s="21"/>
      <c r="F96" s="21"/>
      <c r="G96" s="20"/>
      <c r="H96" s="20"/>
      <c r="I96" s="20"/>
      <c r="J96" s="20"/>
      <c r="K96" s="20"/>
      <c r="L96" s="20"/>
      <c r="M96" s="20"/>
      <c r="N96" s="20"/>
      <c r="O96" s="20"/>
      <c r="P96" s="53"/>
      <c r="Q96" s="20"/>
      <c r="R96" s="20"/>
      <c r="S96" s="21"/>
      <c r="T96" s="21"/>
      <c r="U96" s="21"/>
      <c r="V96" s="20"/>
      <c r="W96" s="20"/>
      <c r="X96" s="20"/>
      <c r="Y96" s="20"/>
      <c r="Z96" s="20"/>
      <c r="AA96" s="20"/>
      <c r="AB96" s="20"/>
      <c r="AC96" s="20"/>
      <c r="AD96" s="10"/>
      <c r="AE96" s="20"/>
      <c r="AF96" s="1"/>
      <c r="AG96" s="1"/>
      <c r="AH96" s="1"/>
      <c r="AI96" s="1"/>
      <c r="AJ96" s="1"/>
      <c r="AK96" s="1"/>
      <c r="AL96" s="1"/>
      <c r="AM96" s="1"/>
    </row>
    <row r="97" spans="1:39" ht="12.75">
      <c r="A97" s="5"/>
      <c r="B97" s="95"/>
      <c r="C97" s="20"/>
      <c r="D97" s="10"/>
      <c r="E97" s="21"/>
      <c r="F97" s="21"/>
      <c r="G97" s="20"/>
      <c r="H97" s="20"/>
      <c r="I97" s="20"/>
      <c r="J97" s="20"/>
      <c r="K97" s="20"/>
      <c r="L97" s="20"/>
      <c r="M97" s="20"/>
      <c r="N97" s="20"/>
      <c r="O97" s="20"/>
      <c r="P97" s="53"/>
      <c r="Q97" s="20"/>
      <c r="R97" s="20"/>
      <c r="S97" s="21"/>
      <c r="T97" s="21"/>
      <c r="U97" s="21"/>
      <c r="V97" s="20"/>
      <c r="W97" s="20"/>
      <c r="X97" s="20"/>
      <c r="Y97" s="20"/>
      <c r="Z97" s="20"/>
      <c r="AA97" s="20"/>
      <c r="AB97" s="20"/>
      <c r="AC97" s="20"/>
      <c r="AD97" s="10"/>
      <c r="AE97" s="20"/>
      <c r="AF97" s="1"/>
      <c r="AG97" s="1"/>
      <c r="AH97" s="1"/>
      <c r="AI97" s="1"/>
      <c r="AJ97" s="1"/>
      <c r="AK97" s="1"/>
      <c r="AL97" s="1"/>
      <c r="AM97" s="1"/>
    </row>
    <row r="98" spans="1:39" ht="12.75">
      <c r="A98" s="5"/>
      <c r="B98" s="95"/>
      <c r="C98" s="20"/>
      <c r="D98" s="10"/>
      <c r="E98" s="21"/>
      <c r="F98" s="21"/>
      <c r="G98" s="20"/>
      <c r="H98" s="20"/>
      <c r="I98" s="20"/>
      <c r="J98" s="20"/>
      <c r="K98" s="20"/>
      <c r="L98" s="20"/>
      <c r="M98" s="20"/>
      <c r="N98" s="20"/>
      <c r="O98" s="20"/>
      <c r="P98" s="53"/>
      <c r="Q98" s="20"/>
      <c r="R98" s="20"/>
      <c r="S98" s="21"/>
      <c r="T98" s="21"/>
      <c r="U98" s="21"/>
      <c r="V98" s="20"/>
      <c r="W98" s="20"/>
      <c r="X98" s="20"/>
      <c r="Y98" s="20"/>
      <c r="Z98" s="20"/>
      <c r="AA98" s="20"/>
      <c r="AB98" s="20"/>
      <c r="AC98" s="20"/>
      <c r="AD98" s="10"/>
      <c r="AE98" s="20"/>
      <c r="AF98" s="1"/>
      <c r="AG98" s="1"/>
      <c r="AH98" s="1"/>
      <c r="AI98" s="1"/>
      <c r="AJ98" s="1"/>
      <c r="AK98" s="1"/>
      <c r="AL98" s="1"/>
      <c r="AM98" s="1"/>
    </row>
    <row r="99" spans="1:39" ht="12.75">
      <c r="A99" s="5"/>
      <c r="B99" s="95"/>
      <c r="C99" s="20"/>
      <c r="D99" s="10"/>
      <c r="E99" s="21"/>
      <c r="F99" s="21"/>
      <c r="G99" s="20"/>
      <c r="H99" s="20"/>
      <c r="I99" s="20"/>
      <c r="J99" s="20"/>
      <c r="K99" s="20"/>
      <c r="L99" s="20"/>
      <c r="M99" s="20"/>
      <c r="N99" s="20"/>
      <c r="O99" s="20"/>
      <c r="P99" s="53"/>
      <c r="Q99" s="20"/>
      <c r="R99" s="20"/>
      <c r="S99" s="21"/>
      <c r="T99" s="21"/>
      <c r="U99" s="21"/>
      <c r="V99" s="20"/>
      <c r="W99" s="20"/>
      <c r="X99" s="20"/>
      <c r="Y99" s="20"/>
      <c r="Z99" s="20"/>
      <c r="AA99" s="20"/>
      <c r="AB99" s="20"/>
      <c r="AC99" s="20"/>
      <c r="AD99" s="10"/>
      <c r="AE99" s="20"/>
      <c r="AF99" s="1"/>
      <c r="AG99" s="1"/>
      <c r="AH99" s="1"/>
      <c r="AI99" s="1"/>
      <c r="AJ99" s="1"/>
      <c r="AK99" s="1"/>
      <c r="AL99" s="1"/>
      <c r="AM99" s="1"/>
    </row>
    <row r="100" spans="1:39" ht="12.75">
      <c r="A100" s="5"/>
      <c r="B100" s="95"/>
      <c r="C100" s="20"/>
      <c r="D100" s="10"/>
      <c r="E100" s="21"/>
      <c r="F100" s="21"/>
      <c r="G100" s="20"/>
      <c r="H100" s="20"/>
      <c r="I100" s="20"/>
      <c r="J100" s="20"/>
      <c r="K100" s="20"/>
      <c r="L100" s="20"/>
      <c r="M100" s="20"/>
      <c r="N100" s="20"/>
      <c r="O100" s="20"/>
      <c r="P100" s="53"/>
      <c r="Q100" s="20"/>
      <c r="R100" s="20"/>
      <c r="S100" s="21"/>
      <c r="T100" s="21"/>
      <c r="U100" s="21"/>
      <c r="V100" s="20"/>
      <c r="W100" s="20"/>
      <c r="X100" s="20"/>
      <c r="Y100" s="20"/>
      <c r="Z100" s="20"/>
      <c r="AA100" s="20"/>
      <c r="AB100" s="20"/>
      <c r="AC100" s="20"/>
      <c r="AD100" s="10"/>
      <c r="AE100" s="20"/>
      <c r="AF100" s="1"/>
      <c r="AG100" s="1"/>
      <c r="AH100" s="1"/>
      <c r="AI100" s="1"/>
      <c r="AJ100" s="1"/>
      <c r="AK100" s="1"/>
      <c r="AL100" s="1"/>
      <c r="AM100" s="1"/>
    </row>
    <row r="101" spans="1:39" ht="12.75">
      <c r="A101" s="5"/>
      <c r="B101" s="95"/>
      <c r="C101" s="20"/>
      <c r="D101" s="10"/>
      <c r="E101" s="21"/>
      <c r="F101" s="21"/>
      <c r="G101" s="20"/>
      <c r="H101" s="20"/>
      <c r="I101" s="20"/>
      <c r="J101" s="20"/>
      <c r="K101" s="20"/>
      <c r="L101" s="20"/>
      <c r="M101" s="20"/>
      <c r="N101" s="20"/>
      <c r="O101" s="20"/>
      <c r="P101" s="53"/>
      <c r="Q101" s="20"/>
      <c r="R101" s="20"/>
      <c r="S101" s="21"/>
      <c r="T101" s="21"/>
      <c r="U101" s="21"/>
      <c r="V101" s="20"/>
      <c r="W101" s="20"/>
      <c r="X101" s="20"/>
      <c r="Y101" s="20"/>
      <c r="Z101" s="20"/>
      <c r="AA101" s="20"/>
      <c r="AB101" s="20"/>
      <c r="AC101" s="20"/>
      <c r="AD101" s="10"/>
      <c r="AE101" s="20"/>
      <c r="AF101" s="1"/>
      <c r="AG101" s="1"/>
      <c r="AH101" s="1"/>
      <c r="AI101" s="1"/>
      <c r="AJ101" s="1"/>
      <c r="AK101" s="1"/>
      <c r="AL101" s="1"/>
      <c r="AM101" s="1"/>
    </row>
    <row r="102" spans="1:39" ht="12.75">
      <c r="A102" s="5"/>
      <c r="B102" s="95"/>
      <c r="C102" s="20"/>
      <c r="D102" s="10"/>
      <c r="E102" s="21"/>
      <c r="F102" s="21"/>
      <c r="G102" s="20"/>
      <c r="H102" s="20"/>
      <c r="I102" s="20"/>
      <c r="J102" s="20"/>
      <c r="K102" s="20"/>
      <c r="L102" s="20"/>
      <c r="M102" s="20"/>
      <c r="N102" s="20"/>
      <c r="O102" s="20"/>
      <c r="P102" s="53"/>
      <c r="Q102" s="20"/>
      <c r="R102" s="20"/>
      <c r="S102" s="21"/>
      <c r="T102" s="21"/>
      <c r="U102" s="21"/>
      <c r="V102" s="20"/>
      <c r="W102" s="20"/>
      <c r="X102" s="20"/>
      <c r="Y102" s="20"/>
      <c r="Z102" s="20"/>
      <c r="AA102" s="20"/>
      <c r="AB102" s="20"/>
      <c r="AC102" s="20"/>
      <c r="AD102" s="10"/>
      <c r="AE102" s="20"/>
      <c r="AF102" s="1"/>
      <c r="AG102" s="1"/>
      <c r="AH102" s="1"/>
      <c r="AI102" s="1"/>
      <c r="AJ102" s="1"/>
      <c r="AK102" s="1"/>
      <c r="AL102" s="1"/>
      <c r="AM102" s="1"/>
    </row>
    <row r="103" spans="1:39" ht="12.75">
      <c r="A103" s="5"/>
      <c r="B103" s="95"/>
      <c r="C103" s="20"/>
      <c r="D103" s="10"/>
      <c r="E103" s="21"/>
      <c r="F103" s="21"/>
      <c r="G103" s="20"/>
      <c r="H103" s="20"/>
      <c r="I103" s="20"/>
      <c r="J103" s="20"/>
      <c r="K103" s="20"/>
      <c r="L103" s="20"/>
      <c r="M103" s="20"/>
      <c r="N103" s="20"/>
      <c r="O103" s="20"/>
      <c r="P103" s="53"/>
      <c r="Q103" s="20"/>
      <c r="R103" s="20"/>
      <c r="S103" s="21"/>
      <c r="T103" s="21"/>
      <c r="U103" s="21"/>
      <c r="V103" s="20"/>
      <c r="W103" s="20"/>
      <c r="X103" s="20"/>
      <c r="Y103" s="20"/>
      <c r="Z103" s="20"/>
      <c r="AA103" s="20"/>
      <c r="AB103" s="20"/>
      <c r="AC103" s="20"/>
      <c r="AD103" s="10"/>
      <c r="AE103" s="20"/>
      <c r="AF103" s="1"/>
      <c r="AG103" s="1"/>
      <c r="AH103" s="1"/>
      <c r="AI103" s="1"/>
      <c r="AJ103" s="1"/>
      <c r="AK103" s="1"/>
      <c r="AL103" s="1"/>
      <c r="AM103" s="1"/>
    </row>
    <row r="104" spans="1:39" ht="12.75">
      <c r="A104" s="6"/>
      <c r="B104" s="95"/>
      <c r="C104" s="20"/>
      <c r="D104" s="10"/>
      <c r="E104" s="21"/>
      <c r="F104" s="21"/>
      <c r="G104" s="20"/>
      <c r="H104" s="20"/>
      <c r="I104" s="20"/>
      <c r="J104" s="20"/>
      <c r="K104" s="20"/>
      <c r="L104" s="20"/>
      <c r="M104" s="20"/>
      <c r="N104" s="20"/>
      <c r="O104" s="20"/>
      <c r="P104" s="53"/>
      <c r="Q104" s="20"/>
      <c r="R104" s="20"/>
      <c r="S104" s="21"/>
      <c r="T104" s="21"/>
      <c r="U104" s="21"/>
      <c r="V104" s="20"/>
      <c r="W104" s="20"/>
      <c r="X104" s="20"/>
      <c r="Y104" s="20"/>
      <c r="Z104" s="20"/>
      <c r="AA104" s="20"/>
      <c r="AB104" s="20"/>
      <c r="AC104" s="20"/>
      <c r="AD104" s="10"/>
      <c r="AE104" s="20"/>
      <c r="AF104" s="1"/>
      <c r="AG104" s="1"/>
      <c r="AH104" s="1"/>
      <c r="AI104" s="1"/>
      <c r="AJ104" s="1"/>
      <c r="AK104" s="1"/>
      <c r="AL104" s="1"/>
      <c r="AM104" s="1"/>
    </row>
    <row r="105" spans="1:39" ht="12.75">
      <c r="A105" s="5"/>
      <c r="B105" s="95"/>
      <c r="C105" s="20"/>
      <c r="D105" s="10"/>
      <c r="E105" s="21"/>
      <c r="F105" s="21"/>
      <c r="G105" s="20"/>
      <c r="H105" s="20"/>
      <c r="I105" s="20"/>
      <c r="J105" s="20"/>
      <c r="K105" s="20"/>
      <c r="L105" s="20"/>
      <c r="M105" s="20"/>
      <c r="N105" s="20"/>
      <c r="O105" s="20"/>
      <c r="P105" s="53"/>
      <c r="Q105" s="20"/>
      <c r="R105" s="20"/>
      <c r="S105" s="21"/>
      <c r="T105" s="21"/>
      <c r="U105" s="21"/>
      <c r="V105" s="20"/>
      <c r="W105" s="20"/>
      <c r="X105" s="20"/>
      <c r="Y105" s="20"/>
      <c r="Z105" s="20"/>
      <c r="AA105" s="20"/>
      <c r="AB105" s="20"/>
      <c r="AC105" s="20"/>
      <c r="AD105" s="10"/>
      <c r="AE105" s="20"/>
      <c r="AF105" s="1"/>
      <c r="AG105" s="1"/>
      <c r="AH105" s="1"/>
      <c r="AI105" s="1"/>
      <c r="AJ105" s="1"/>
      <c r="AK105" s="1"/>
      <c r="AL105" s="1"/>
      <c r="AM105" s="1"/>
    </row>
    <row r="106" spans="1:39" ht="12.75">
      <c r="A106" s="5"/>
      <c r="B106" s="95"/>
      <c r="C106" s="20"/>
      <c r="D106" s="10"/>
      <c r="E106" s="21"/>
      <c r="F106" s="21"/>
      <c r="G106" s="20"/>
      <c r="H106" s="20"/>
      <c r="I106" s="20"/>
      <c r="J106" s="20"/>
      <c r="K106" s="20"/>
      <c r="L106" s="20"/>
      <c r="M106" s="20"/>
      <c r="N106" s="20"/>
      <c r="O106" s="20"/>
      <c r="P106" s="53"/>
      <c r="Q106" s="20"/>
      <c r="R106" s="20"/>
      <c r="S106" s="21"/>
      <c r="T106" s="21"/>
      <c r="U106" s="21"/>
      <c r="V106" s="20"/>
      <c r="W106" s="20"/>
      <c r="X106" s="20"/>
      <c r="Y106" s="20"/>
      <c r="Z106" s="20"/>
      <c r="AA106" s="20"/>
      <c r="AB106" s="20"/>
      <c r="AC106" s="20"/>
      <c r="AD106" s="10"/>
      <c r="AE106" s="20"/>
      <c r="AF106" s="1"/>
      <c r="AG106" s="1"/>
      <c r="AH106" s="1"/>
      <c r="AI106" s="1"/>
      <c r="AJ106" s="1"/>
      <c r="AK106" s="1"/>
      <c r="AL106" s="1"/>
      <c r="AM106" s="1"/>
    </row>
    <row r="107" spans="1:39" ht="12.75">
      <c r="A107" s="5"/>
      <c r="B107" s="95"/>
      <c r="C107" s="20"/>
      <c r="D107" s="10"/>
      <c r="E107" s="21"/>
      <c r="F107" s="21"/>
      <c r="G107" s="20"/>
      <c r="H107" s="20"/>
      <c r="I107" s="20"/>
      <c r="J107" s="20"/>
      <c r="K107" s="20"/>
      <c r="L107" s="20"/>
      <c r="M107" s="20"/>
      <c r="N107" s="20"/>
      <c r="O107" s="20"/>
      <c r="P107" s="53"/>
      <c r="Q107" s="20"/>
      <c r="R107" s="20"/>
      <c r="S107" s="21"/>
      <c r="T107" s="21"/>
      <c r="U107" s="21"/>
      <c r="V107" s="20"/>
      <c r="W107" s="20"/>
      <c r="X107" s="20"/>
      <c r="Y107" s="20"/>
      <c r="Z107" s="20"/>
      <c r="AA107" s="20"/>
      <c r="AB107" s="20"/>
      <c r="AC107" s="20"/>
      <c r="AD107" s="10"/>
      <c r="AE107" s="20"/>
      <c r="AF107" s="1"/>
      <c r="AG107" s="1"/>
      <c r="AH107" s="1"/>
      <c r="AI107" s="1"/>
      <c r="AJ107" s="1"/>
      <c r="AK107" s="1"/>
      <c r="AL107" s="1"/>
      <c r="AM107" s="1"/>
    </row>
    <row r="108" spans="1:39" ht="12.75">
      <c r="A108" s="5"/>
      <c r="B108" s="95"/>
      <c r="C108" s="20"/>
      <c r="D108" s="10"/>
      <c r="E108" s="21"/>
      <c r="F108" s="21"/>
      <c r="G108" s="20"/>
      <c r="H108" s="20"/>
      <c r="I108" s="20"/>
      <c r="J108" s="20"/>
      <c r="K108" s="20"/>
      <c r="L108" s="20"/>
      <c r="M108" s="20"/>
      <c r="N108" s="20"/>
      <c r="O108" s="20"/>
      <c r="P108" s="53"/>
      <c r="Q108" s="20"/>
      <c r="R108" s="20"/>
      <c r="S108" s="21"/>
      <c r="T108" s="21"/>
      <c r="U108" s="21"/>
      <c r="V108" s="20"/>
      <c r="W108" s="20"/>
      <c r="X108" s="20"/>
      <c r="Y108" s="20"/>
      <c r="Z108" s="20"/>
      <c r="AA108" s="20"/>
      <c r="AB108" s="20"/>
      <c r="AC108" s="20"/>
      <c r="AD108" s="10"/>
      <c r="AE108" s="20"/>
      <c r="AF108" s="1"/>
      <c r="AG108" s="1"/>
      <c r="AH108" s="1"/>
      <c r="AI108" s="1"/>
      <c r="AJ108" s="1"/>
      <c r="AK108" s="1"/>
      <c r="AL108" s="1"/>
      <c r="AM108" s="1"/>
    </row>
    <row r="109" spans="1:39" ht="12.75">
      <c r="A109" s="5"/>
      <c r="B109" s="95"/>
      <c r="C109" s="20"/>
      <c r="D109" s="10"/>
      <c r="E109" s="21"/>
      <c r="F109" s="21"/>
      <c r="G109" s="20"/>
      <c r="H109" s="20"/>
      <c r="I109" s="20"/>
      <c r="J109" s="20"/>
      <c r="K109" s="20"/>
      <c r="L109" s="20"/>
      <c r="M109" s="20"/>
      <c r="N109" s="20"/>
      <c r="O109" s="20"/>
      <c r="P109" s="53"/>
      <c r="Q109" s="20"/>
      <c r="R109" s="20"/>
      <c r="S109" s="21"/>
      <c r="T109" s="21"/>
      <c r="U109" s="21"/>
      <c r="V109" s="20"/>
      <c r="W109" s="20"/>
      <c r="X109" s="20"/>
      <c r="Y109" s="20"/>
      <c r="Z109" s="20"/>
      <c r="AA109" s="20"/>
      <c r="AB109" s="20"/>
      <c r="AC109" s="20"/>
      <c r="AD109" s="10"/>
      <c r="AE109" s="20"/>
      <c r="AF109" s="1"/>
      <c r="AG109" s="1"/>
      <c r="AH109" s="1"/>
      <c r="AI109" s="1"/>
      <c r="AJ109" s="1"/>
      <c r="AK109" s="1"/>
      <c r="AL109" s="1"/>
      <c r="AM109" s="1"/>
    </row>
    <row r="110" spans="1:39" ht="12.75">
      <c r="A110" s="5"/>
      <c r="B110" s="95"/>
      <c r="C110" s="20"/>
      <c r="D110" s="10"/>
      <c r="E110" s="21"/>
      <c r="F110" s="21"/>
      <c r="G110" s="20"/>
      <c r="H110" s="20"/>
      <c r="I110" s="20"/>
      <c r="J110" s="20"/>
      <c r="K110" s="20"/>
      <c r="L110" s="20"/>
      <c r="M110" s="20"/>
      <c r="N110" s="20"/>
      <c r="O110" s="20"/>
      <c r="P110" s="53"/>
      <c r="Q110" s="20"/>
      <c r="R110" s="20"/>
      <c r="S110" s="21"/>
      <c r="T110" s="21"/>
      <c r="U110" s="21"/>
      <c r="V110" s="20"/>
      <c r="W110" s="20"/>
      <c r="X110" s="20"/>
      <c r="Y110" s="20"/>
      <c r="Z110" s="20"/>
      <c r="AA110" s="20"/>
      <c r="AB110" s="20"/>
      <c r="AC110" s="20"/>
      <c r="AD110" s="10"/>
      <c r="AE110" s="20"/>
      <c r="AF110" s="1"/>
      <c r="AG110" s="1"/>
      <c r="AH110" s="1"/>
      <c r="AI110" s="1"/>
      <c r="AJ110" s="1"/>
      <c r="AK110" s="1"/>
      <c r="AL110" s="1"/>
      <c r="AM110" s="1"/>
    </row>
    <row r="111" spans="1:39" ht="12.75">
      <c r="A111" s="5"/>
      <c r="B111" s="95"/>
      <c r="C111" s="20"/>
      <c r="D111" s="10"/>
      <c r="E111" s="21"/>
      <c r="F111" s="21"/>
      <c r="G111" s="20"/>
      <c r="H111" s="20"/>
      <c r="I111" s="20"/>
      <c r="J111" s="20"/>
      <c r="K111" s="20"/>
      <c r="L111" s="20"/>
      <c r="M111" s="20"/>
      <c r="N111" s="20"/>
      <c r="O111" s="20"/>
      <c r="P111" s="53"/>
      <c r="Q111" s="20"/>
      <c r="R111" s="20"/>
      <c r="S111" s="21"/>
      <c r="T111" s="21"/>
      <c r="U111" s="21"/>
      <c r="V111" s="20"/>
      <c r="W111" s="20"/>
      <c r="X111" s="20"/>
      <c r="Y111" s="20"/>
      <c r="Z111" s="20"/>
      <c r="AA111" s="20"/>
      <c r="AB111" s="20"/>
      <c r="AC111" s="20"/>
      <c r="AD111" s="10"/>
      <c r="AE111" s="20"/>
      <c r="AF111" s="1"/>
      <c r="AG111" s="1"/>
      <c r="AH111" s="1"/>
      <c r="AI111" s="1"/>
      <c r="AJ111" s="1"/>
      <c r="AK111" s="1"/>
      <c r="AL111" s="1"/>
      <c r="AM111" s="1"/>
    </row>
    <row r="112" spans="1:39" ht="12.75">
      <c r="A112" s="5"/>
      <c r="B112" s="95"/>
      <c r="C112" s="20"/>
      <c r="D112" s="10"/>
      <c r="E112" s="21"/>
      <c r="F112" s="21"/>
      <c r="G112" s="20"/>
      <c r="H112" s="20"/>
      <c r="I112" s="20"/>
      <c r="J112" s="20"/>
      <c r="K112" s="20"/>
      <c r="L112" s="20"/>
      <c r="M112" s="20"/>
      <c r="N112" s="20"/>
      <c r="O112" s="20"/>
      <c r="P112" s="53"/>
      <c r="Q112" s="20"/>
      <c r="R112" s="20"/>
      <c r="S112" s="21"/>
      <c r="T112" s="21"/>
      <c r="U112" s="21"/>
      <c r="V112" s="20"/>
      <c r="W112" s="20"/>
      <c r="X112" s="20"/>
      <c r="Y112" s="20"/>
      <c r="Z112" s="20"/>
      <c r="AA112" s="20"/>
      <c r="AB112" s="20"/>
      <c r="AC112" s="20"/>
      <c r="AD112" s="10"/>
      <c r="AE112" s="20"/>
      <c r="AF112" s="1"/>
      <c r="AG112" s="1"/>
      <c r="AH112" s="1"/>
      <c r="AI112" s="1"/>
      <c r="AJ112" s="1"/>
      <c r="AK112" s="1"/>
      <c r="AL112" s="1"/>
      <c r="AM112" s="1"/>
    </row>
    <row r="113" spans="1:39" ht="12.75">
      <c r="A113" s="10"/>
      <c r="B113" s="95"/>
      <c r="C113" s="20"/>
      <c r="D113" s="10"/>
      <c r="E113" s="21"/>
      <c r="F113" s="21"/>
      <c r="G113" s="20"/>
      <c r="H113" s="20"/>
      <c r="I113" s="20"/>
      <c r="J113" s="20"/>
      <c r="K113" s="20"/>
      <c r="L113" s="20"/>
      <c r="M113" s="20"/>
      <c r="N113" s="20"/>
      <c r="O113" s="20"/>
      <c r="P113" s="53"/>
      <c r="Q113" s="20"/>
      <c r="R113" s="20"/>
      <c r="S113" s="21"/>
      <c r="T113" s="21"/>
      <c r="U113" s="21"/>
      <c r="V113" s="20"/>
      <c r="W113" s="20"/>
      <c r="X113" s="20"/>
      <c r="Y113" s="20"/>
      <c r="Z113" s="20"/>
      <c r="AA113" s="20"/>
      <c r="AB113" s="20"/>
      <c r="AC113" s="20"/>
      <c r="AD113" s="10"/>
      <c r="AE113" s="20"/>
      <c r="AF113" s="1"/>
      <c r="AG113" s="1"/>
      <c r="AH113" s="1"/>
      <c r="AI113" s="1"/>
      <c r="AJ113" s="1"/>
      <c r="AK113" s="1"/>
      <c r="AL113" s="1"/>
      <c r="AM113" s="1"/>
    </row>
    <row r="114" spans="1:39" ht="12.75">
      <c r="A114" s="5"/>
      <c r="B114" s="95"/>
      <c r="C114" s="20"/>
      <c r="D114" s="10"/>
      <c r="E114" s="21"/>
      <c r="F114" s="21"/>
      <c r="G114" s="20"/>
      <c r="H114" s="20"/>
      <c r="I114" s="20"/>
      <c r="J114" s="20"/>
      <c r="K114" s="20"/>
      <c r="L114" s="20"/>
      <c r="M114" s="20"/>
      <c r="N114" s="20"/>
      <c r="O114" s="20"/>
      <c r="P114" s="53"/>
      <c r="Q114" s="20"/>
      <c r="R114" s="20"/>
      <c r="S114" s="21"/>
      <c r="T114" s="21"/>
      <c r="U114" s="21"/>
      <c r="V114" s="20"/>
      <c r="W114" s="20"/>
      <c r="X114" s="20"/>
      <c r="Y114" s="20"/>
      <c r="Z114" s="20"/>
      <c r="AA114" s="20"/>
      <c r="AB114" s="20"/>
      <c r="AC114" s="20"/>
      <c r="AD114" s="10"/>
      <c r="AE114" s="20"/>
      <c r="AF114" s="1"/>
      <c r="AG114" s="1"/>
      <c r="AH114" s="1"/>
      <c r="AI114" s="1"/>
      <c r="AJ114" s="1"/>
      <c r="AK114" s="1"/>
      <c r="AL114" s="1"/>
      <c r="AM114" s="1"/>
    </row>
    <row r="115" spans="1:39" ht="12.75">
      <c r="A115" s="5"/>
      <c r="B115" s="95"/>
      <c r="C115" s="20"/>
      <c r="D115" s="10"/>
      <c r="E115" s="21"/>
      <c r="F115" s="21"/>
      <c r="G115" s="20"/>
      <c r="H115" s="20"/>
      <c r="I115" s="20"/>
      <c r="J115" s="20"/>
      <c r="K115" s="20"/>
      <c r="L115" s="20"/>
      <c r="M115" s="20"/>
      <c r="N115" s="20"/>
      <c r="O115" s="20"/>
      <c r="P115" s="53"/>
      <c r="Q115" s="20"/>
      <c r="R115" s="20"/>
      <c r="S115" s="21"/>
      <c r="T115" s="21"/>
      <c r="U115" s="21"/>
      <c r="V115" s="20"/>
      <c r="W115" s="20"/>
      <c r="X115" s="20"/>
      <c r="Y115" s="20"/>
      <c r="Z115" s="20"/>
      <c r="AA115" s="20"/>
      <c r="AB115" s="20"/>
      <c r="AC115" s="20"/>
      <c r="AD115" s="10"/>
      <c r="AE115" s="20"/>
      <c r="AF115" s="1"/>
      <c r="AG115" s="1"/>
      <c r="AH115" s="1"/>
      <c r="AI115" s="1"/>
      <c r="AJ115" s="1"/>
      <c r="AK115" s="1"/>
      <c r="AL115" s="1"/>
      <c r="AM115" s="1"/>
    </row>
    <row r="116" spans="1:39" ht="12.75">
      <c r="A116" s="5"/>
      <c r="B116" s="95"/>
      <c r="C116" s="20"/>
      <c r="D116" s="10"/>
      <c r="E116" s="21"/>
      <c r="F116" s="21"/>
      <c r="G116" s="20"/>
      <c r="H116" s="20"/>
      <c r="I116" s="20"/>
      <c r="J116" s="20"/>
      <c r="K116" s="20"/>
      <c r="L116" s="20"/>
      <c r="M116" s="20"/>
      <c r="N116" s="20"/>
      <c r="O116" s="20"/>
      <c r="P116" s="53"/>
      <c r="Q116" s="20"/>
      <c r="R116" s="20"/>
      <c r="S116" s="21"/>
      <c r="T116" s="21"/>
      <c r="U116" s="21"/>
      <c r="V116" s="20"/>
      <c r="W116" s="20"/>
      <c r="X116" s="20"/>
      <c r="Y116" s="20"/>
      <c r="Z116" s="20"/>
      <c r="AA116" s="20"/>
      <c r="AB116" s="20"/>
      <c r="AC116" s="20"/>
      <c r="AD116" s="10"/>
      <c r="AE116" s="20"/>
      <c r="AF116" s="1"/>
      <c r="AG116" s="1"/>
      <c r="AH116" s="1"/>
      <c r="AI116" s="1"/>
      <c r="AJ116" s="1"/>
      <c r="AK116" s="1"/>
      <c r="AL116" s="1"/>
      <c r="AM116" s="1"/>
    </row>
    <row r="117" spans="1:39" ht="12.75">
      <c r="A117" s="5"/>
      <c r="B117" s="95"/>
      <c r="C117" s="20"/>
      <c r="D117" s="10"/>
      <c r="E117" s="21"/>
      <c r="F117" s="21"/>
      <c r="G117" s="20"/>
      <c r="H117" s="20"/>
      <c r="I117" s="20"/>
      <c r="J117" s="20"/>
      <c r="K117" s="20"/>
      <c r="L117" s="20"/>
      <c r="M117" s="20"/>
      <c r="N117" s="20"/>
      <c r="O117" s="20"/>
      <c r="P117" s="53"/>
      <c r="Q117" s="20"/>
      <c r="R117" s="20"/>
      <c r="S117" s="21"/>
      <c r="T117" s="21"/>
      <c r="U117" s="21"/>
      <c r="V117" s="20"/>
      <c r="W117" s="20"/>
      <c r="X117" s="20"/>
      <c r="Y117" s="20"/>
      <c r="Z117" s="20"/>
      <c r="AA117" s="20"/>
      <c r="AB117" s="20"/>
      <c r="AC117" s="20"/>
      <c r="AD117" s="10"/>
      <c r="AE117" s="20"/>
      <c r="AF117" s="1"/>
      <c r="AG117" s="1"/>
      <c r="AH117" s="1"/>
      <c r="AI117" s="1"/>
      <c r="AJ117" s="1"/>
      <c r="AK117" s="1"/>
      <c r="AL117" s="1"/>
      <c r="AM117" s="1"/>
    </row>
    <row r="118" spans="1:39" ht="12.75">
      <c r="A118" s="5"/>
      <c r="B118" s="95"/>
      <c r="C118" s="20"/>
      <c r="D118" s="10"/>
      <c r="E118" s="21"/>
      <c r="F118" s="21"/>
      <c r="G118" s="20"/>
      <c r="H118" s="20"/>
      <c r="I118" s="20"/>
      <c r="J118" s="20"/>
      <c r="K118" s="20"/>
      <c r="L118" s="20"/>
      <c r="M118" s="20"/>
      <c r="N118" s="20"/>
      <c r="O118" s="20"/>
      <c r="P118" s="20"/>
      <c r="Q118" s="20"/>
      <c r="R118" s="20"/>
      <c r="S118" s="21"/>
      <c r="T118" s="21"/>
      <c r="U118" s="21"/>
      <c r="V118" s="20"/>
      <c r="W118" s="20"/>
      <c r="X118" s="20"/>
      <c r="Y118" s="20"/>
      <c r="Z118" s="20"/>
      <c r="AA118" s="20"/>
      <c r="AB118" s="20"/>
      <c r="AC118" s="20"/>
      <c r="AD118" s="10"/>
      <c r="AE118" s="20"/>
      <c r="AF118" s="1"/>
      <c r="AG118" s="1"/>
      <c r="AH118" s="1"/>
      <c r="AI118" s="1"/>
      <c r="AJ118" s="1"/>
      <c r="AK118" s="1"/>
      <c r="AL118" s="1"/>
      <c r="AM118" s="1"/>
    </row>
    <row r="119" spans="1:39" ht="12.75">
      <c r="A119" s="5"/>
      <c r="B119" s="95"/>
      <c r="C119" s="20"/>
      <c r="D119" s="10"/>
      <c r="E119" s="21"/>
      <c r="F119" s="21"/>
      <c r="G119" s="20"/>
      <c r="H119" s="20"/>
      <c r="I119" s="20"/>
      <c r="J119" s="20"/>
      <c r="K119" s="20"/>
      <c r="L119" s="20"/>
      <c r="M119" s="20"/>
      <c r="N119" s="20"/>
      <c r="O119" s="20"/>
      <c r="P119" s="53"/>
      <c r="Q119" s="20"/>
      <c r="R119" s="20"/>
      <c r="S119" s="21"/>
      <c r="T119" s="21"/>
      <c r="U119" s="21"/>
      <c r="V119" s="20"/>
      <c r="W119" s="20"/>
      <c r="X119" s="20"/>
      <c r="Y119" s="20"/>
      <c r="Z119" s="20"/>
      <c r="AA119" s="20"/>
      <c r="AB119" s="20"/>
      <c r="AC119" s="20"/>
      <c r="AD119" s="10"/>
      <c r="AE119" s="20"/>
      <c r="AF119" s="1"/>
      <c r="AG119" s="1"/>
      <c r="AH119" s="1"/>
      <c r="AI119" s="1"/>
      <c r="AJ119" s="1"/>
      <c r="AK119" s="1"/>
      <c r="AL119" s="1"/>
      <c r="AM119" s="1"/>
    </row>
    <row r="120" spans="1:39" ht="12.75">
      <c r="A120" s="10"/>
      <c r="B120" s="95"/>
      <c r="C120" s="20"/>
      <c r="D120" s="10"/>
      <c r="E120" s="21"/>
      <c r="F120" s="21"/>
      <c r="G120" s="20"/>
      <c r="H120" s="20"/>
      <c r="I120" s="20"/>
      <c r="J120" s="20"/>
      <c r="K120" s="20"/>
      <c r="L120" s="20"/>
      <c r="M120" s="20"/>
      <c r="N120" s="20"/>
      <c r="O120" s="20"/>
      <c r="P120" s="53"/>
      <c r="Q120" s="20"/>
      <c r="R120" s="20"/>
      <c r="S120" s="21"/>
      <c r="T120" s="21"/>
      <c r="U120" s="21"/>
      <c r="V120" s="20"/>
      <c r="W120" s="20"/>
      <c r="X120" s="20"/>
      <c r="Y120" s="20"/>
      <c r="Z120" s="20"/>
      <c r="AA120" s="20"/>
      <c r="AB120" s="20"/>
      <c r="AC120" s="20"/>
      <c r="AD120" s="10"/>
      <c r="AE120" s="20"/>
      <c r="AF120" s="1"/>
      <c r="AG120" s="1"/>
      <c r="AH120" s="1"/>
      <c r="AI120" s="1"/>
      <c r="AJ120" s="1"/>
      <c r="AK120" s="1"/>
      <c r="AL120" s="1"/>
      <c r="AM120" s="1"/>
    </row>
    <row r="121" spans="1:39" ht="12.75">
      <c r="A121" s="5"/>
      <c r="B121" s="95"/>
      <c r="C121" s="20"/>
      <c r="D121" s="10"/>
      <c r="E121" s="21"/>
      <c r="F121" s="21"/>
      <c r="G121" s="20"/>
      <c r="H121" s="20"/>
      <c r="I121" s="20"/>
      <c r="J121" s="20"/>
      <c r="K121" s="20"/>
      <c r="L121" s="20"/>
      <c r="M121" s="20"/>
      <c r="N121" s="20"/>
      <c r="O121" s="20"/>
      <c r="P121" s="53"/>
      <c r="Q121" s="20"/>
      <c r="R121" s="20"/>
      <c r="S121" s="21"/>
      <c r="T121" s="21"/>
      <c r="U121" s="21"/>
      <c r="V121" s="20"/>
      <c r="W121" s="20"/>
      <c r="X121" s="20"/>
      <c r="Y121" s="20"/>
      <c r="Z121" s="20"/>
      <c r="AA121" s="20"/>
      <c r="AB121" s="20"/>
      <c r="AC121" s="20"/>
      <c r="AD121" s="10"/>
      <c r="AE121" s="20"/>
      <c r="AF121" s="1"/>
      <c r="AG121" s="1"/>
      <c r="AH121" s="1"/>
      <c r="AI121" s="1"/>
      <c r="AJ121" s="1"/>
      <c r="AK121" s="1"/>
      <c r="AL121" s="1"/>
      <c r="AM121" s="1"/>
    </row>
    <row r="122" spans="1:39" ht="12.75">
      <c r="A122" s="5"/>
      <c r="B122" s="95"/>
      <c r="C122" s="20"/>
      <c r="D122" s="10"/>
      <c r="E122" s="21"/>
      <c r="F122" s="21"/>
      <c r="G122" s="20"/>
      <c r="H122" s="20"/>
      <c r="I122" s="20"/>
      <c r="J122" s="20"/>
      <c r="K122" s="20"/>
      <c r="L122" s="20"/>
      <c r="M122" s="20"/>
      <c r="N122" s="20"/>
      <c r="O122" s="20"/>
      <c r="P122" s="53"/>
      <c r="Q122" s="20"/>
      <c r="R122" s="20"/>
      <c r="S122" s="21"/>
      <c r="T122" s="21"/>
      <c r="U122" s="21"/>
      <c r="V122" s="20"/>
      <c r="W122" s="20"/>
      <c r="X122" s="20"/>
      <c r="Y122" s="20"/>
      <c r="Z122" s="20"/>
      <c r="AA122" s="20"/>
      <c r="AB122" s="20"/>
      <c r="AC122" s="20"/>
      <c r="AD122" s="10"/>
      <c r="AE122" s="20"/>
      <c r="AF122" s="1"/>
      <c r="AG122" s="1"/>
      <c r="AH122" s="1"/>
      <c r="AI122" s="1"/>
      <c r="AJ122" s="1"/>
      <c r="AK122" s="1"/>
      <c r="AL122" s="1"/>
      <c r="AM122" s="1"/>
    </row>
    <row r="123" spans="1:39" ht="12.75">
      <c r="A123" s="5"/>
      <c r="B123" s="95"/>
      <c r="C123" s="20"/>
      <c r="D123" s="10"/>
      <c r="E123" s="21"/>
      <c r="F123" s="21"/>
      <c r="G123" s="20"/>
      <c r="H123" s="20"/>
      <c r="I123" s="20"/>
      <c r="J123" s="20"/>
      <c r="K123" s="20"/>
      <c r="L123" s="20"/>
      <c r="M123" s="20"/>
      <c r="N123" s="20"/>
      <c r="O123" s="20"/>
      <c r="P123" s="53"/>
      <c r="Q123" s="20"/>
      <c r="R123" s="20"/>
      <c r="S123" s="21"/>
      <c r="T123" s="21"/>
      <c r="U123" s="21"/>
      <c r="V123" s="20"/>
      <c r="W123" s="20"/>
      <c r="X123" s="20"/>
      <c r="Y123" s="20"/>
      <c r="Z123" s="20"/>
      <c r="AA123" s="20"/>
      <c r="AB123" s="20"/>
      <c r="AC123" s="20"/>
      <c r="AD123" s="10"/>
      <c r="AE123" s="20"/>
      <c r="AF123" s="1"/>
      <c r="AG123" s="1"/>
      <c r="AH123" s="1"/>
      <c r="AI123" s="1"/>
      <c r="AJ123" s="1"/>
      <c r="AK123" s="1"/>
      <c r="AL123" s="1"/>
      <c r="AM123" s="1"/>
    </row>
    <row r="124" spans="1:39" ht="12.75">
      <c r="A124" s="5"/>
      <c r="B124" s="95"/>
      <c r="C124" s="20"/>
      <c r="D124" s="10"/>
      <c r="E124" s="21"/>
      <c r="F124" s="21"/>
      <c r="G124" s="20"/>
      <c r="H124" s="20"/>
      <c r="I124" s="20"/>
      <c r="J124" s="20"/>
      <c r="K124" s="20"/>
      <c r="L124" s="20"/>
      <c r="M124" s="20"/>
      <c r="N124" s="20"/>
      <c r="O124" s="20"/>
      <c r="P124" s="53"/>
      <c r="Q124" s="20"/>
      <c r="R124" s="20"/>
      <c r="S124" s="21"/>
      <c r="T124" s="21"/>
      <c r="U124" s="21"/>
      <c r="V124" s="20"/>
      <c r="W124" s="20"/>
      <c r="X124" s="20"/>
      <c r="Y124" s="20"/>
      <c r="Z124" s="20"/>
      <c r="AA124" s="20"/>
      <c r="AB124" s="20"/>
      <c r="AC124" s="20"/>
      <c r="AD124" s="10"/>
      <c r="AE124" s="20"/>
      <c r="AF124" s="1"/>
      <c r="AG124" s="1"/>
      <c r="AH124" s="1"/>
      <c r="AI124" s="1"/>
      <c r="AJ124" s="1"/>
      <c r="AK124" s="1"/>
      <c r="AL124" s="1"/>
      <c r="AM124" s="1"/>
    </row>
    <row r="125" spans="1:39" ht="12.75">
      <c r="A125" s="5"/>
      <c r="B125" s="95"/>
      <c r="C125" s="20"/>
      <c r="D125" s="10"/>
      <c r="E125" s="21"/>
      <c r="F125" s="21"/>
      <c r="G125" s="20"/>
      <c r="H125" s="20"/>
      <c r="I125" s="20"/>
      <c r="J125" s="20"/>
      <c r="K125" s="20"/>
      <c r="L125" s="20"/>
      <c r="M125" s="20"/>
      <c r="N125" s="20"/>
      <c r="O125" s="20"/>
      <c r="P125" s="53"/>
      <c r="Q125" s="20"/>
      <c r="R125" s="20"/>
      <c r="S125" s="21"/>
      <c r="T125" s="21"/>
      <c r="U125" s="21"/>
      <c r="V125" s="20"/>
      <c r="W125" s="20"/>
      <c r="X125" s="20"/>
      <c r="Y125" s="20"/>
      <c r="Z125" s="20"/>
      <c r="AA125" s="20"/>
      <c r="AB125" s="20"/>
      <c r="AC125" s="20"/>
      <c r="AD125" s="10"/>
      <c r="AE125" s="20"/>
      <c r="AF125" s="1"/>
      <c r="AG125" s="1"/>
      <c r="AH125" s="1"/>
      <c r="AI125" s="1"/>
      <c r="AJ125" s="1"/>
      <c r="AK125" s="1"/>
      <c r="AL125" s="1"/>
      <c r="AM125" s="1"/>
    </row>
    <row r="126" spans="1:39" ht="12.75">
      <c r="A126" s="5"/>
      <c r="B126" s="95"/>
      <c r="C126" s="20"/>
      <c r="D126" s="10"/>
      <c r="E126" s="21"/>
      <c r="F126" s="21"/>
      <c r="G126" s="20"/>
      <c r="H126" s="20"/>
      <c r="I126" s="20"/>
      <c r="J126" s="20"/>
      <c r="K126" s="20"/>
      <c r="L126" s="20"/>
      <c r="M126" s="20"/>
      <c r="N126" s="20"/>
      <c r="O126" s="20"/>
      <c r="P126" s="53"/>
      <c r="Q126" s="20"/>
      <c r="R126" s="20"/>
      <c r="S126" s="21"/>
      <c r="T126" s="21"/>
      <c r="U126" s="21"/>
      <c r="V126" s="20"/>
      <c r="W126" s="20"/>
      <c r="X126" s="20"/>
      <c r="Y126" s="20"/>
      <c r="Z126" s="20"/>
      <c r="AA126" s="20"/>
      <c r="AB126" s="20"/>
      <c r="AC126" s="20"/>
      <c r="AD126" s="10"/>
      <c r="AE126" s="20"/>
      <c r="AF126" s="1"/>
      <c r="AG126" s="1"/>
      <c r="AH126" s="1"/>
      <c r="AI126" s="1"/>
      <c r="AJ126" s="1"/>
      <c r="AK126" s="1"/>
      <c r="AL126" s="1"/>
      <c r="AM126" s="1"/>
    </row>
    <row r="127" spans="1:39" ht="12.75">
      <c r="A127" s="5"/>
      <c r="B127" s="95"/>
      <c r="C127" s="20"/>
      <c r="D127" s="10"/>
      <c r="E127" s="21"/>
      <c r="F127" s="21"/>
      <c r="G127" s="20"/>
      <c r="H127" s="20"/>
      <c r="I127" s="20"/>
      <c r="J127" s="20"/>
      <c r="K127" s="20"/>
      <c r="L127" s="20"/>
      <c r="M127" s="20"/>
      <c r="N127" s="20"/>
      <c r="O127" s="20"/>
      <c r="P127" s="53"/>
      <c r="Q127" s="20"/>
      <c r="R127" s="20"/>
      <c r="S127" s="21"/>
      <c r="T127" s="21"/>
      <c r="U127" s="21"/>
      <c r="V127" s="20"/>
      <c r="W127" s="20"/>
      <c r="X127" s="20"/>
      <c r="Y127" s="20"/>
      <c r="Z127" s="20"/>
      <c r="AA127" s="20"/>
      <c r="AB127" s="20"/>
      <c r="AC127" s="20"/>
      <c r="AD127" s="10"/>
      <c r="AE127" s="20"/>
      <c r="AF127" s="1"/>
      <c r="AG127" s="1"/>
      <c r="AH127" s="1"/>
      <c r="AI127" s="1"/>
      <c r="AJ127" s="1"/>
      <c r="AK127" s="1"/>
      <c r="AL127" s="1"/>
      <c r="AM127" s="1"/>
    </row>
    <row r="128" spans="1:39" ht="12.75">
      <c r="A128" s="5"/>
      <c r="B128" s="95"/>
      <c r="C128" s="20"/>
      <c r="D128" s="10"/>
      <c r="E128" s="21"/>
      <c r="F128" s="21"/>
      <c r="G128" s="20"/>
      <c r="H128" s="20"/>
      <c r="I128" s="20"/>
      <c r="J128" s="20"/>
      <c r="K128" s="20"/>
      <c r="L128" s="20"/>
      <c r="M128" s="20"/>
      <c r="N128" s="20"/>
      <c r="O128" s="20"/>
      <c r="P128" s="53"/>
      <c r="Q128" s="20"/>
      <c r="R128" s="20"/>
      <c r="S128" s="21"/>
      <c r="T128" s="21"/>
      <c r="U128" s="21"/>
      <c r="V128" s="20"/>
      <c r="W128" s="20"/>
      <c r="X128" s="20"/>
      <c r="Y128" s="20"/>
      <c r="Z128" s="20"/>
      <c r="AA128" s="20"/>
      <c r="AB128" s="20"/>
      <c r="AC128" s="20"/>
      <c r="AD128" s="10"/>
      <c r="AE128" s="20"/>
      <c r="AF128" s="1"/>
      <c r="AG128" s="1"/>
      <c r="AH128" s="1"/>
      <c r="AI128" s="1"/>
      <c r="AJ128" s="1"/>
      <c r="AK128" s="1"/>
      <c r="AL128" s="1"/>
      <c r="AM128" s="1"/>
    </row>
    <row r="129" spans="1:39" ht="12.75">
      <c r="A129" s="5"/>
      <c r="B129" s="95"/>
      <c r="C129" s="20"/>
      <c r="D129" s="10"/>
      <c r="E129" s="21"/>
      <c r="F129" s="21"/>
      <c r="G129" s="20"/>
      <c r="H129" s="20"/>
      <c r="I129" s="20"/>
      <c r="J129" s="20"/>
      <c r="K129" s="20"/>
      <c r="L129" s="20"/>
      <c r="M129" s="20"/>
      <c r="N129" s="20"/>
      <c r="O129" s="20"/>
      <c r="P129" s="53"/>
      <c r="Q129" s="20"/>
      <c r="R129" s="20"/>
      <c r="S129" s="21"/>
      <c r="T129" s="21"/>
      <c r="U129" s="21"/>
      <c r="V129" s="20"/>
      <c r="W129" s="20"/>
      <c r="X129" s="20"/>
      <c r="Y129" s="20"/>
      <c r="Z129" s="20"/>
      <c r="AA129" s="20"/>
      <c r="AB129" s="20"/>
      <c r="AC129" s="20"/>
      <c r="AD129" s="10"/>
      <c r="AE129" s="20"/>
      <c r="AF129" s="1"/>
      <c r="AG129" s="1"/>
      <c r="AH129" s="1"/>
      <c r="AI129" s="1"/>
      <c r="AJ129" s="1"/>
      <c r="AK129" s="1"/>
      <c r="AL129" s="1"/>
      <c r="AM129" s="1"/>
    </row>
    <row r="130" spans="1:39" ht="12.75">
      <c r="A130" s="5"/>
      <c r="B130" s="95"/>
      <c r="C130" s="20"/>
      <c r="D130" s="10"/>
      <c r="E130" s="21"/>
      <c r="F130" s="21"/>
      <c r="G130" s="20"/>
      <c r="H130" s="20"/>
      <c r="I130" s="20"/>
      <c r="J130" s="20"/>
      <c r="K130" s="20"/>
      <c r="L130" s="20"/>
      <c r="M130" s="20"/>
      <c r="N130" s="20"/>
      <c r="O130" s="20"/>
      <c r="P130" s="53"/>
      <c r="Q130" s="20"/>
      <c r="R130" s="20"/>
      <c r="S130" s="21"/>
      <c r="T130" s="21"/>
      <c r="U130" s="21"/>
      <c r="V130" s="20"/>
      <c r="W130" s="20"/>
      <c r="X130" s="20"/>
      <c r="Y130" s="20"/>
      <c r="Z130" s="20"/>
      <c r="AA130" s="20"/>
      <c r="AB130" s="20"/>
      <c r="AC130" s="20"/>
      <c r="AD130" s="10"/>
      <c r="AE130" s="20"/>
      <c r="AF130" s="1"/>
      <c r="AG130" s="1"/>
      <c r="AH130" s="1"/>
      <c r="AI130" s="1"/>
      <c r="AJ130" s="1"/>
      <c r="AK130" s="1"/>
      <c r="AL130" s="1"/>
      <c r="AM130" s="1"/>
    </row>
    <row r="131" spans="1:39" ht="12.75">
      <c r="A131" s="5"/>
      <c r="B131" s="95"/>
      <c r="C131" s="20"/>
      <c r="D131" s="10"/>
      <c r="E131" s="21"/>
      <c r="F131" s="21"/>
      <c r="G131" s="20"/>
      <c r="H131" s="20"/>
      <c r="I131" s="20"/>
      <c r="J131" s="20"/>
      <c r="K131" s="20"/>
      <c r="L131" s="20"/>
      <c r="M131" s="20"/>
      <c r="N131" s="20"/>
      <c r="O131" s="20"/>
      <c r="P131" s="53"/>
      <c r="Q131" s="20"/>
      <c r="R131" s="20"/>
      <c r="S131" s="21"/>
      <c r="T131" s="21"/>
      <c r="U131" s="21"/>
      <c r="V131" s="20"/>
      <c r="W131" s="20"/>
      <c r="X131" s="20"/>
      <c r="Y131" s="20"/>
      <c r="Z131" s="20"/>
      <c r="AA131" s="20"/>
      <c r="AB131" s="20"/>
      <c r="AC131" s="20"/>
      <c r="AD131" s="10"/>
      <c r="AE131" s="20"/>
      <c r="AF131" s="1"/>
      <c r="AG131" s="1"/>
      <c r="AH131" s="1"/>
      <c r="AI131" s="1"/>
      <c r="AJ131" s="1"/>
      <c r="AK131" s="1"/>
      <c r="AL131" s="1"/>
      <c r="AM131" s="1"/>
    </row>
    <row r="132" spans="1:39" ht="12.75">
      <c r="A132" s="5"/>
      <c r="B132" s="95"/>
      <c r="C132" s="20"/>
      <c r="D132" s="10"/>
      <c r="E132" s="21"/>
      <c r="F132" s="21"/>
      <c r="G132" s="20"/>
      <c r="H132" s="20"/>
      <c r="I132" s="20"/>
      <c r="J132" s="20"/>
      <c r="K132" s="20"/>
      <c r="L132" s="20"/>
      <c r="M132" s="20"/>
      <c r="N132" s="20"/>
      <c r="O132" s="20"/>
      <c r="P132" s="53"/>
      <c r="Q132" s="20"/>
      <c r="R132" s="20"/>
      <c r="S132" s="21"/>
      <c r="T132" s="21"/>
      <c r="U132" s="21"/>
      <c r="V132" s="20"/>
      <c r="W132" s="20"/>
      <c r="X132" s="20"/>
      <c r="Y132" s="20"/>
      <c r="Z132" s="20"/>
      <c r="AA132" s="20"/>
      <c r="AB132" s="20"/>
      <c r="AC132" s="20"/>
      <c r="AD132" s="10"/>
      <c r="AE132" s="20"/>
      <c r="AF132" s="1"/>
      <c r="AG132" s="1"/>
      <c r="AH132" s="1"/>
      <c r="AI132" s="1"/>
      <c r="AJ132" s="1"/>
      <c r="AK132" s="1"/>
      <c r="AL132" s="1"/>
      <c r="AM132" s="1"/>
    </row>
    <row r="133" spans="1:39" ht="12.75">
      <c r="A133" s="5"/>
      <c r="B133" s="95"/>
      <c r="C133" s="20"/>
      <c r="D133" s="10"/>
      <c r="E133" s="21"/>
      <c r="F133" s="21"/>
      <c r="G133" s="20"/>
      <c r="H133" s="20"/>
      <c r="I133" s="20"/>
      <c r="J133" s="20"/>
      <c r="K133" s="20"/>
      <c r="L133" s="20"/>
      <c r="M133" s="20"/>
      <c r="N133" s="20"/>
      <c r="O133" s="20"/>
      <c r="P133" s="53"/>
      <c r="Q133" s="20"/>
      <c r="R133" s="20"/>
      <c r="S133" s="21"/>
      <c r="T133" s="21"/>
      <c r="U133" s="21"/>
      <c r="V133" s="20"/>
      <c r="W133" s="20"/>
      <c r="X133" s="20"/>
      <c r="Y133" s="20"/>
      <c r="Z133" s="20"/>
      <c r="AA133" s="20"/>
      <c r="AB133" s="20"/>
      <c r="AC133" s="20"/>
      <c r="AD133" s="10"/>
      <c r="AE133" s="20"/>
      <c r="AF133" s="1"/>
      <c r="AG133" s="1"/>
      <c r="AH133" s="1"/>
      <c r="AI133" s="1"/>
      <c r="AJ133" s="1"/>
      <c r="AK133" s="1"/>
      <c r="AL133" s="1"/>
      <c r="AM133" s="1"/>
    </row>
    <row r="134" spans="1:39" ht="12.75">
      <c r="A134" s="5"/>
      <c r="B134" s="95"/>
      <c r="C134" s="20"/>
      <c r="D134" s="10"/>
      <c r="E134" s="21"/>
      <c r="F134" s="21"/>
      <c r="G134" s="20"/>
      <c r="H134" s="20"/>
      <c r="I134" s="20"/>
      <c r="J134" s="20"/>
      <c r="K134" s="20"/>
      <c r="L134" s="20"/>
      <c r="M134" s="20"/>
      <c r="N134" s="20"/>
      <c r="O134" s="20"/>
      <c r="P134" s="53"/>
      <c r="Q134" s="20"/>
      <c r="R134" s="20"/>
      <c r="S134" s="21"/>
      <c r="T134" s="21"/>
      <c r="U134" s="21"/>
      <c r="V134" s="20"/>
      <c r="W134" s="20"/>
      <c r="X134" s="20"/>
      <c r="Y134" s="20"/>
      <c r="Z134" s="20"/>
      <c r="AA134" s="20"/>
      <c r="AB134" s="20"/>
      <c r="AC134" s="20"/>
      <c r="AD134" s="10"/>
      <c r="AE134" s="20"/>
      <c r="AF134" s="1"/>
      <c r="AG134" s="1"/>
      <c r="AH134" s="1"/>
      <c r="AI134" s="1"/>
      <c r="AJ134" s="1"/>
      <c r="AK134" s="1"/>
      <c r="AL134" s="1"/>
      <c r="AM134" s="1"/>
    </row>
    <row r="135" spans="1:39" ht="12.75">
      <c r="A135" s="5"/>
      <c r="B135" s="95"/>
      <c r="C135" s="20"/>
      <c r="D135" s="10"/>
      <c r="E135" s="21"/>
      <c r="F135" s="21"/>
      <c r="G135" s="20"/>
      <c r="H135" s="20"/>
      <c r="I135" s="20"/>
      <c r="J135" s="20"/>
      <c r="K135" s="20"/>
      <c r="L135" s="20"/>
      <c r="M135" s="20"/>
      <c r="N135" s="20"/>
      <c r="O135" s="20"/>
      <c r="P135" s="53"/>
      <c r="Q135" s="20"/>
      <c r="R135" s="20"/>
      <c r="S135" s="21"/>
      <c r="T135" s="21"/>
      <c r="U135" s="21"/>
      <c r="V135" s="20"/>
      <c r="W135" s="20"/>
      <c r="X135" s="20"/>
      <c r="Y135" s="20"/>
      <c r="Z135" s="20"/>
      <c r="AA135" s="20"/>
      <c r="AB135" s="20"/>
      <c r="AC135" s="20"/>
      <c r="AD135" s="10"/>
      <c r="AE135" s="20"/>
      <c r="AF135" s="1"/>
      <c r="AG135" s="1"/>
      <c r="AH135" s="1"/>
      <c r="AI135" s="1"/>
      <c r="AJ135" s="1"/>
      <c r="AK135" s="1"/>
      <c r="AL135" s="1"/>
      <c r="AM135" s="1"/>
    </row>
    <row r="136" spans="1:39" ht="12.75">
      <c r="A136" s="5"/>
      <c r="B136" s="95"/>
      <c r="C136" s="20"/>
      <c r="D136" s="10"/>
      <c r="E136" s="21"/>
      <c r="F136" s="21"/>
      <c r="G136" s="20"/>
      <c r="H136" s="20"/>
      <c r="I136" s="20"/>
      <c r="J136" s="20"/>
      <c r="K136" s="20"/>
      <c r="L136" s="20"/>
      <c r="M136" s="20"/>
      <c r="N136" s="20"/>
      <c r="O136" s="20"/>
      <c r="P136" s="53"/>
      <c r="Q136" s="20"/>
      <c r="R136" s="20"/>
      <c r="S136" s="21"/>
      <c r="T136" s="21"/>
      <c r="U136" s="21"/>
      <c r="V136" s="20"/>
      <c r="W136" s="20"/>
      <c r="X136" s="20"/>
      <c r="Y136" s="20"/>
      <c r="Z136" s="20"/>
      <c r="AA136" s="20"/>
      <c r="AB136" s="20"/>
      <c r="AC136" s="20"/>
      <c r="AD136" s="10"/>
      <c r="AE136" s="20"/>
      <c r="AF136" s="1"/>
      <c r="AG136" s="1"/>
      <c r="AH136" s="1"/>
      <c r="AI136" s="1"/>
      <c r="AJ136" s="1"/>
      <c r="AK136" s="1"/>
      <c r="AL136" s="1"/>
      <c r="AM136" s="1"/>
    </row>
    <row r="137" spans="1:39" ht="12.75">
      <c r="A137" s="5"/>
      <c r="B137" s="95"/>
      <c r="C137" s="20"/>
      <c r="D137" s="10"/>
      <c r="E137" s="21"/>
      <c r="F137" s="21"/>
      <c r="G137" s="20"/>
      <c r="H137" s="20"/>
      <c r="I137" s="20"/>
      <c r="J137" s="20"/>
      <c r="K137" s="20"/>
      <c r="L137" s="20"/>
      <c r="M137" s="20"/>
      <c r="N137" s="20"/>
      <c r="O137" s="20"/>
      <c r="P137" s="53"/>
      <c r="Q137" s="20"/>
      <c r="R137" s="20"/>
      <c r="S137" s="21"/>
      <c r="T137" s="21"/>
      <c r="U137" s="21"/>
      <c r="V137" s="20"/>
      <c r="W137" s="20"/>
      <c r="X137" s="20"/>
      <c r="Y137" s="20"/>
      <c r="Z137" s="20"/>
      <c r="AA137" s="20"/>
      <c r="AB137" s="20"/>
      <c r="AC137" s="20"/>
      <c r="AD137" s="10"/>
      <c r="AE137" s="20"/>
      <c r="AF137" s="1"/>
      <c r="AG137" s="1"/>
      <c r="AH137" s="1"/>
      <c r="AI137" s="1"/>
      <c r="AJ137" s="1"/>
      <c r="AK137" s="1"/>
      <c r="AL137" s="1"/>
      <c r="AM137" s="1"/>
    </row>
    <row r="138" spans="1:39" ht="12.75">
      <c r="A138" s="5"/>
      <c r="B138" s="95"/>
      <c r="C138" s="20"/>
      <c r="D138" s="10"/>
      <c r="E138" s="21"/>
      <c r="F138" s="21"/>
      <c r="G138" s="20"/>
      <c r="H138" s="20"/>
      <c r="I138" s="20"/>
      <c r="J138" s="20"/>
      <c r="K138" s="20"/>
      <c r="L138" s="20"/>
      <c r="M138" s="20"/>
      <c r="N138" s="20"/>
      <c r="O138" s="20"/>
      <c r="P138" s="53"/>
      <c r="Q138" s="20"/>
      <c r="R138" s="20"/>
      <c r="S138" s="21"/>
      <c r="T138" s="21"/>
      <c r="U138" s="21"/>
      <c r="V138" s="20"/>
      <c r="W138" s="20"/>
      <c r="X138" s="20"/>
      <c r="Y138" s="20"/>
      <c r="Z138" s="20"/>
      <c r="AA138" s="20"/>
      <c r="AB138" s="20"/>
      <c r="AC138" s="20"/>
      <c r="AD138" s="10"/>
      <c r="AE138" s="20"/>
      <c r="AF138" s="1"/>
      <c r="AG138" s="1"/>
      <c r="AH138" s="1"/>
      <c r="AI138" s="1"/>
      <c r="AJ138" s="1"/>
      <c r="AK138" s="1"/>
      <c r="AL138" s="1"/>
      <c r="AM138" s="1"/>
    </row>
    <row r="139" spans="1:39" ht="12.75">
      <c r="A139" s="5"/>
      <c r="B139" s="95"/>
      <c r="C139" s="20"/>
      <c r="D139" s="10"/>
      <c r="E139" s="21"/>
      <c r="F139" s="21"/>
      <c r="G139" s="20"/>
      <c r="H139" s="20"/>
      <c r="I139" s="20"/>
      <c r="J139" s="20"/>
      <c r="K139" s="20"/>
      <c r="L139" s="20"/>
      <c r="M139" s="20"/>
      <c r="N139" s="20"/>
      <c r="O139" s="20"/>
      <c r="P139" s="53"/>
      <c r="Q139" s="20"/>
      <c r="R139" s="20"/>
      <c r="S139" s="21"/>
      <c r="T139" s="21"/>
      <c r="U139" s="21"/>
      <c r="V139" s="20"/>
      <c r="W139" s="20"/>
      <c r="X139" s="20"/>
      <c r="Y139" s="20"/>
      <c r="Z139" s="20"/>
      <c r="AA139" s="20"/>
      <c r="AB139" s="20"/>
      <c r="AC139" s="20"/>
      <c r="AD139" s="10"/>
      <c r="AE139" s="20"/>
      <c r="AF139" s="1"/>
      <c r="AG139" s="1"/>
      <c r="AH139" s="1"/>
      <c r="AI139" s="1"/>
      <c r="AJ139" s="1"/>
      <c r="AK139" s="1"/>
      <c r="AL139" s="1"/>
      <c r="AM139" s="1"/>
    </row>
    <row r="140" spans="1:39" ht="12.75">
      <c r="A140" s="5"/>
      <c r="B140" s="95"/>
      <c r="C140" s="20"/>
      <c r="D140" s="10"/>
      <c r="E140" s="21"/>
      <c r="F140" s="21"/>
      <c r="G140" s="20"/>
      <c r="H140" s="20"/>
      <c r="I140" s="20"/>
      <c r="J140" s="20"/>
      <c r="K140" s="20"/>
      <c r="L140" s="20"/>
      <c r="M140" s="20"/>
      <c r="N140" s="20"/>
      <c r="O140" s="20"/>
      <c r="P140" s="53"/>
      <c r="Q140" s="20"/>
      <c r="R140" s="20"/>
      <c r="S140" s="21"/>
      <c r="T140" s="21"/>
      <c r="U140" s="21"/>
      <c r="V140" s="20"/>
      <c r="W140" s="20"/>
      <c r="X140" s="20"/>
      <c r="Y140" s="20"/>
      <c r="Z140" s="20"/>
      <c r="AA140" s="20"/>
      <c r="AB140" s="20"/>
      <c r="AC140" s="20"/>
      <c r="AD140" s="10"/>
      <c r="AE140" s="20"/>
      <c r="AF140" s="1"/>
      <c r="AG140" s="1"/>
      <c r="AH140" s="1"/>
      <c r="AI140" s="1"/>
      <c r="AJ140" s="1"/>
      <c r="AK140" s="1"/>
      <c r="AL140" s="1"/>
      <c r="AM140" s="1"/>
    </row>
    <row r="141" spans="1:39" ht="12.75">
      <c r="A141" s="5"/>
      <c r="B141" s="95"/>
      <c r="C141" s="20"/>
      <c r="D141" s="10"/>
      <c r="E141" s="21"/>
      <c r="F141" s="21"/>
      <c r="G141" s="20"/>
      <c r="H141" s="20"/>
      <c r="I141" s="20"/>
      <c r="J141" s="20"/>
      <c r="K141" s="20"/>
      <c r="L141" s="20"/>
      <c r="M141" s="20"/>
      <c r="N141" s="20"/>
      <c r="O141" s="20"/>
      <c r="P141" s="53"/>
      <c r="Q141" s="20"/>
      <c r="R141" s="20"/>
      <c r="S141" s="21"/>
      <c r="T141" s="21"/>
      <c r="U141" s="21"/>
      <c r="V141" s="20"/>
      <c r="W141" s="20"/>
      <c r="X141" s="20"/>
      <c r="Y141" s="20"/>
      <c r="Z141" s="20"/>
      <c r="AA141" s="20"/>
      <c r="AB141" s="20"/>
      <c r="AC141" s="20"/>
      <c r="AD141" s="10"/>
      <c r="AE141" s="20"/>
      <c r="AF141" s="1"/>
      <c r="AG141" s="1"/>
      <c r="AH141" s="1"/>
      <c r="AI141" s="1"/>
      <c r="AJ141" s="1"/>
      <c r="AK141" s="1"/>
      <c r="AL141" s="1"/>
      <c r="AM141" s="1"/>
    </row>
    <row r="142" spans="1:39" ht="12.75">
      <c r="A142" s="5"/>
      <c r="B142" s="95"/>
      <c r="C142" s="20"/>
      <c r="D142" s="10"/>
      <c r="E142" s="21"/>
      <c r="F142" s="21"/>
      <c r="G142" s="20"/>
      <c r="H142" s="20"/>
      <c r="I142" s="20"/>
      <c r="J142" s="20"/>
      <c r="K142" s="20"/>
      <c r="L142" s="20"/>
      <c r="M142" s="20"/>
      <c r="N142" s="20"/>
      <c r="O142" s="20"/>
      <c r="P142" s="53"/>
      <c r="Q142" s="20"/>
      <c r="R142" s="20"/>
      <c r="S142" s="21"/>
      <c r="T142" s="21"/>
      <c r="U142" s="21"/>
      <c r="V142" s="20"/>
      <c r="W142" s="20"/>
      <c r="X142" s="20"/>
      <c r="Y142" s="20"/>
      <c r="Z142" s="20"/>
      <c r="AA142" s="20"/>
      <c r="AB142" s="20"/>
      <c r="AC142" s="20"/>
      <c r="AD142" s="10"/>
      <c r="AE142" s="20"/>
      <c r="AF142" s="1"/>
      <c r="AG142" s="1"/>
      <c r="AH142" s="1"/>
      <c r="AI142" s="1"/>
      <c r="AJ142" s="1"/>
      <c r="AK142" s="1"/>
      <c r="AL142" s="1"/>
      <c r="AM142" s="1"/>
    </row>
    <row r="143" spans="1:39" ht="12.75">
      <c r="A143" s="5"/>
      <c r="B143" s="95"/>
      <c r="C143" s="20"/>
      <c r="D143" s="10"/>
      <c r="E143" s="21"/>
      <c r="F143" s="21"/>
      <c r="G143" s="20"/>
      <c r="H143" s="20"/>
      <c r="I143" s="20"/>
      <c r="J143" s="20"/>
      <c r="K143" s="20"/>
      <c r="L143" s="20"/>
      <c r="M143" s="20"/>
      <c r="N143" s="20"/>
      <c r="O143" s="20"/>
      <c r="P143" s="53"/>
      <c r="Q143" s="20"/>
      <c r="R143" s="20"/>
      <c r="S143" s="21"/>
      <c r="T143" s="21"/>
      <c r="U143" s="21"/>
      <c r="V143" s="20"/>
      <c r="W143" s="20"/>
      <c r="X143" s="20"/>
      <c r="Y143" s="20"/>
      <c r="Z143" s="20"/>
      <c r="AA143" s="20"/>
      <c r="AB143" s="20"/>
      <c r="AC143" s="20"/>
      <c r="AD143" s="10"/>
      <c r="AE143" s="20"/>
      <c r="AF143" s="1"/>
      <c r="AG143" s="1"/>
      <c r="AH143" s="1"/>
      <c r="AI143" s="1"/>
      <c r="AJ143" s="1"/>
      <c r="AK143" s="1"/>
      <c r="AL143" s="1"/>
      <c r="AM143" s="1"/>
    </row>
    <row r="144" spans="1:39" ht="12.75">
      <c r="A144" s="5"/>
      <c r="B144" s="95"/>
      <c r="C144" s="20"/>
      <c r="D144" s="10"/>
      <c r="E144" s="21"/>
      <c r="F144" s="21"/>
      <c r="G144" s="20"/>
      <c r="H144" s="20"/>
      <c r="I144" s="20"/>
      <c r="J144" s="20"/>
      <c r="K144" s="20"/>
      <c r="L144" s="20"/>
      <c r="M144" s="20"/>
      <c r="N144" s="20"/>
      <c r="O144" s="20"/>
      <c r="P144" s="53"/>
      <c r="Q144" s="20"/>
      <c r="R144" s="20"/>
      <c r="S144" s="21"/>
      <c r="T144" s="21"/>
      <c r="U144" s="21"/>
      <c r="V144" s="20"/>
      <c r="W144" s="20"/>
      <c r="X144" s="20"/>
      <c r="Y144" s="20"/>
      <c r="Z144" s="20"/>
      <c r="AA144" s="20"/>
      <c r="AB144" s="20"/>
      <c r="AC144" s="20"/>
      <c r="AD144" s="10"/>
      <c r="AE144" s="20"/>
      <c r="AF144" s="1"/>
      <c r="AG144" s="1"/>
      <c r="AH144" s="1"/>
      <c r="AI144" s="1"/>
      <c r="AJ144" s="1"/>
      <c r="AK144" s="1"/>
      <c r="AL144" s="1"/>
      <c r="AM144" s="1"/>
    </row>
    <row r="145" spans="1:39" ht="12.75">
      <c r="A145" s="5"/>
      <c r="B145" s="95"/>
      <c r="C145" s="20"/>
      <c r="D145" s="10"/>
      <c r="E145" s="21"/>
      <c r="F145" s="21"/>
      <c r="G145" s="20"/>
      <c r="H145" s="20"/>
      <c r="I145" s="20"/>
      <c r="J145" s="20"/>
      <c r="K145" s="20"/>
      <c r="L145" s="20"/>
      <c r="M145" s="20"/>
      <c r="N145" s="20"/>
      <c r="O145" s="20"/>
      <c r="P145" s="53"/>
      <c r="Q145" s="20"/>
      <c r="R145" s="20"/>
      <c r="S145" s="21"/>
      <c r="T145" s="21"/>
      <c r="U145" s="21"/>
      <c r="V145" s="20"/>
      <c r="W145" s="20"/>
      <c r="X145" s="20"/>
      <c r="Y145" s="20"/>
      <c r="Z145" s="20"/>
      <c r="AA145" s="20"/>
      <c r="AB145" s="20"/>
      <c r="AC145" s="20"/>
      <c r="AD145" s="10"/>
      <c r="AE145" s="20"/>
      <c r="AF145" s="1"/>
      <c r="AG145" s="1"/>
      <c r="AH145" s="1"/>
      <c r="AI145" s="1"/>
      <c r="AJ145" s="1"/>
      <c r="AK145" s="1"/>
      <c r="AL145" s="1"/>
      <c r="AM145" s="1"/>
    </row>
    <row r="146" spans="1:39" ht="12.75">
      <c r="A146" s="5"/>
      <c r="B146" s="95"/>
      <c r="C146" s="20"/>
      <c r="D146" s="10"/>
      <c r="E146" s="21"/>
      <c r="F146" s="21"/>
      <c r="G146" s="20"/>
      <c r="H146" s="20"/>
      <c r="I146" s="20"/>
      <c r="J146" s="20"/>
      <c r="K146" s="20"/>
      <c r="L146" s="20"/>
      <c r="M146" s="20"/>
      <c r="N146" s="20"/>
      <c r="O146" s="20"/>
      <c r="P146" s="53"/>
      <c r="Q146" s="20"/>
      <c r="R146" s="20"/>
      <c r="S146" s="21"/>
      <c r="T146" s="21"/>
      <c r="U146" s="21"/>
      <c r="V146" s="20"/>
      <c r="W146" s="20"/>
      <c r="X146" s="20"/>
      <c r="Y146" s="20"/>
      <c r="Z146" s="20"/>
      <c r="AA146" s="20"/>
      <c r="AB146" s="20"/>
      <c r="AC146" s="20"/>
      <c r="AD146" s="10"/>
      <c r="AE146" s="20"/>
      <c r="AF146" s="1"/>
      <c r="AG146" s="1"/>
      <c r="AH146" s="1"/>
      <c r="AI146" s="1"/>
      <c r="AJ146" s="1"/>
      <c r="AK146" s="1"/>
      <c r="AL146" s="1"/>
      <c r="AM146" s="1"/>
    </row>
    <row r="147" spans="1:39" ht="12.75">
      <c r="A147" s="5"/>
      <c r="B147" s="95"/>
      <c r="C147" s="20"/>
      <c r="D147" s="10"/>
      <c r="E147" s="21"/>
      <c r="F147" s="21"/>
      <c r="G147" s="20"/>
      <c r="H147" s="20"/>
      <c r="I147" s="20"/>
      <c r="J147" s="20"/>
      <c r="K147" s="20"/>
      <c r="L147" s="20"/>
      <c r="M147" s="20"/>
      <c r="N147" s="20"/>
      <c r="O147" s="20"/>
      <c r="P147" s="53"/>
      <c r="Q147" s="20"/>
      <c r="R147" s="20"/>
      <c r="S147" s="21"/>
      <c r="T147" s="21"/>
      <c r="U147" s="21"/>
      <c r="V147" s="20"/>
      <c r="W147" s="20"/>
      <c r="X147" s="20"/>
      <c r="Y147" s="20"/>
      <c r="Z147" s="20"/>
      <c r="AA147" s="20"/>
      <c r="AB147" s="20"/>
      <c r="AC147" s="20"/>
      <c r="AD147" s="10"/>
      <c r="AE147" s="20"/>
      <c r="AF147" s="1"/>
      <c r="AG147" s="1"/>
      <c r="AH147" s="1"/>
      <c r="AI147" s="1"/>
      <c r="AJ147" s="1"/>
      <c r="AK147" s="1"/>
      <c r="AL147" s="1"/>
      <c r="AM147" s="1"/>
    </row>
    <row r="148" spans="1:39" ht="12.75">
      <c r="A148" s="5"/>
      <c r="B148" s="95"/>
      <c r="C148" s="20"/>
      <c r="D148" s="10"/>
      <c r="E148" s="21"/>
      <c r="F148" s="21"/>
      <c r="G148" s="20"/>
      <c r="H148" s="20"/>
      <c r="I148" s="20"/>
      <c r="J148" s="20"/>
      <c r="K148" s="20"/>
      <c r="L148" s="20"/>
      <c r="M148" s="20"/>
      <c r="N148" s="20"/>
      <c r="O148" s="20"/>
      <c r="P148" s="53"/>
      <c r="Q148" s="20"/>
      <c r="R148" s="20"/>
      <c r="S148" s="21"/>
      <c r="T148" s="21"/>
      <c r="U148" s="21"/>
      <c r="V148" s="20"/>
      <c r="W148" s="20"/>
      <c r="X148" s="20"/>
      <c r="Y148" s="20"/>
      <c r="Z148" s="20"/>
      <c r="AA148" s="20"/>
      <c r="AB148" s="20"/>
      <c r="AC148" s="20"/>
      <c r="AD148" s="10"/>
      <c r="AE148" s="20"/>
      <c r="AF148" s="1"/>
      <c r="AG148" s="1"/>
      <c r="AH148" s="1"/>
      <c r="AI148" s="1"/>
      <c r="AJ148" s="1"/>
      <c r="AK148" s="1"/>
      <c r="AL148" s="1"/>
      <c r="AM148" s="1"/>
    </row>
    <row r="149" spans="1:39" ht="12.75">
      <c r="A149" s="5"/>
      <c r="B149" s="95"/>
      <c r="C149" s="20"/>
      <c r="D149" s="10"/>
      <c r="E149" s="21"/>
      <c r="F149" s="21"/>
      <c r="G149" s="20"/>
      <c r="H149" s="20"/>
      <c r="I149" s="20"/>
      <c r="J149" s="20"/>
      <c r="K149" s="20"/>
      <c r="L149" s="20"/>
      <c r="M149" s="20"/>
      <c r="N149" s="20"/>
      <c r="O149" s="20"/>
      <c r="P149" s="53"/>
      <c r="Q149" s="20"/>
      <c r="R149" s="20"/>
      <c r="S149" s="21"/>
      <c r="T149" s="21"/>
      <c r="U149" s="21"/>
      <c r="V149" s="20"/>
      <c r="W149" s="20"/>
      <c r="X149" s="20"/>
      <c r="Y149" s="20"/>
      <c r="Z149" s="20"/>
      <c r="AA149" s="20"/>
      <c r="AB149" s="20"/>
      <c r="AC149" s="20"/>
      <c r="AD149" s="10"/>
      <c r="AE149" s="20"/>
      <c r="AF149" s="1"/>
      <c r="AG149" s="1"/>
      <c r="AH149" s="1"/>
      <c r="AI149" s="1"/>
      <c r="AJ149" s="1"/>
      <c r="AK149" s="1"/>
      <c r="AL149" s="1"/>
      <c r="AM149" s="1"/>
    </row>
    <row r="150" spans="1:39" ht="12.75">
      <c r="A150" s="5"/>
      <c r="B150" s="95"/>
      <c r="C150" s="20"/>
      <c r="D150" s="10"/>
      <c r="E150" s="21"/>
      <c r="F150" s="21"/>
      <c r="G150" s="20"/>
      <c r="H150" s="20"/>
      <c r="I150" s="20"/>
      <c r="J150" s="20"/>
      <c r="K150" s="20"/>
      <c r="L150" s="20"/>
      <c r="M150" s="20"/>
      <c r="N150" s="20"/>
      <c r="O150" s="20"/>
      <c r="P150" s="53"/>
      <c r="Q150" s="20"/>
      <c r="R150" s="20"/>
      <c r="S150" s="21"/>
      <c r="T150" s="21"/>
      <c r="U150" s="21"/>
      <c r="V150" s="20"/>
      <c r="W150" s="20"/>
      <c r="X150" s="20"/>
      <c r="Y150" s="20"/>
      <c r="Z150" s="20"/>
      <c r="AA150" s="20"/>
      <c r="AB150" s="20"/>
      <c r="AC150" s="20"/>
      <c r="AD150" s="10"/>
      <c r="AE150" s="20"/>
      <c r="AF150" s="1"/>
      <c r="AG150" s="1"/>
      <c r="AH150" s="1"/>
      <c r="AI150" s="1"/>
      <c r="AJ150" s="1"/>
      <c r="AK150" s="1"/>
      <c r="AL150" s="1"/>
      <c r="AM150" s="1"/>
    </row>
    <row r="151" spans="1:39" ht="12.75">
      <c r="A151" s="5"/>
      <c r="B151" s="95"/>
      <c r="C151" s="20"/>
      <c r="D151" s="10"/>
      <c r="E151" s="21"/>
      <c r="F151" s="21"/>
      <c r="G151" s="20"/>
      <c r="H151" s="20"/>
      <c r="I151" s="20"/>
      <c r="J151" s="20"/>
      <c r="K151" s="20"/>
      <c r="L151" s="20"/>
      <c r="M151" s="20"/>
      <c r="N151" s="20"/>
      <c r="O151" s="20"/>
      <c r="P151" s="53"/>
      <c r="Q151" s="20"/>
      <c r="R151" s="20"/>
      <c r="S151" s="21"/>
      <c r="T151" s="21"/>
      <c r="U151" s="21"/>
      <c r="V151" s="20"/>
      <c r="W151" s="20"/>
      <c r="X151" s="20"/>
      <c r="Y151" s="20"/>
      <c r="Z151" s="20"/>
      <c r="AA151" s="20"/>
      <c r="AB151" s="20"/>
      <c r="AC151" s="20"/>
      <c r="AD151" s="10"/>
      <c r="AE151" s="20"/>
      <c r="AF151" s="1"/>
      <c r="AG151" s="1"/>
      <c r="AH151" s="1"/>
      <c r="AI151" s="1"/>
      <c r="AJ151" s="1"/>
      <c r="AK151" s="1"/>
      <c r="AL151" s="1"/>
      <c r="AM151" s="1"/>
    </row>
    <row r="152" spans="1:39" ht="12.75">
      <c r="A152" s="10"/>
      <c r="B152" s="95"/>
      <c r="C152" s="20"/>
      <c r="D152" s="10"/>
      <c r="E152" s="21"/>
      <c r="F152" s="21"/>
      <c r="G152" s="20"/>
      <c r="H152" s="20"/>
      <c r="I152" s="20"/>
      <c r="J152" s="20"/>
      <c r="K152" s="20"/>
      <c r="L152" s="20"/>
      <c r="M152" s="20"/>
      <c r="N152" s="20"/>
      <c r="O152" s="20"/>
      <c r="P152" s="53"/>
      <c r="Q152" s="20"/>
      <c r="R152" s="20"/>
      <c r="S152" s="21"/>
      <c r="T152" s="21"/>
      <c r="U152" s="21"/>
      <c r="V152" s="20"/>
      <c r="W152" s="20"/>
      <c r="X152" s="20"/>
      <c r="Y152" s="20"/>
      <c r="Z152" s="20"/>
      <c r="AA152" s="20"/>
      <c r="AB152" s="20"/>
      <c r="AC152" s="20"/>
      <c r="AD152" s="10"/>
      <c r="AE152" s="20"/>
      <c r="AF152" s="1"/>
      <c r="AG152" s="1"/>
      <c r="AH152" s="1"/>
      <c r="AI152" s="1"/>
      <c r="AJ152" s="1"/>
      <c r="AK152" s="1"/>
      <c r="AL152" s="1"/>
      <c r="AM152" s="1"/>
    </row>
    <row r="153" spans="1:39" ht="12.75">
      <c r="A153" s="5"/>
      <c r="B153" s="95"/>
      <c r="C153" s="20"/>
      <c r="D153" s="10"/>
      <c r="E153" s="21"/>
      <c r="F153" s="21"/>
      <c r="G153" s="20"/>
      <c r="H153" s="20"/>
      <c r="I153" s="20"/>
      <c r="J153" s="20"/>
      <c r="K153" s="20"/>
      <c r="L153" s="20"/>
      <c r="M153" s="20"/>
      <c r="N153" s="20"/>
      <c r="O153" s="20"/>
      <c r="P153" s="53"/>
      <c r="Q153" s="20"/>
      <c r="R153" s="20"/>
      <c r="S153" s="21"/>
      <c r="T153" s="21"/>
      <c r="U153" s="21"/>
      <c r="V153" s="20"/>
      <c r="W153" s="20"/>
      <c r="X153" s="20"/>
      <c r="Y153" s="20"/>
      <c r="Z153" s="20"/>
      <c r="AA153" s="20"/>
      <c r="AB153" s="20"/>
      <c r="AC153" s="20"/>
      <c r="AD153" s="10"/>
      <c r="AE153" s="20"/>
      <c r="AF153" s="1"/>
      <c r="AG153" s="1"/>
      <c r="AH153" s="1"/>
      <c r="AI153" s="1"/>
      <c r="AJ153" s="1"/>
      <c r="AK153" s="1"/>
      <c r="AL153" s="1"/>
      <c r="AM153" s="1"/>
    </row>
    <row r="154" spans="1:39" ht="12.75">
      <c r="A154" s="5"/>
      <c r="B154" s="95"/>
      <c r="C154" s="20"/>
      <c r="D154" s="10"/>
      <c r="E154" s="21"/>
      <c r="F154" s="21"/>
      <c r="G154" s="20"/>
      <c r="H154" s="20"/>
      <c r="I154" s="20"/>
      <c r="J154" s="20"/>
      <c r="K154" s="20"/>
      <c r="L154" s="20"/>
      <c r="M154" s="20"/>
      <c r="N154" s="20"/>
      <c r="O154" s="20"/>
      <c r="P154" s="53"/>
      <c r="Q154" s="20"/>
      <c r="R154" s="20"/>
      <c r="S154" s="21"/>
      <c r="T154" s="21"/>
      <c r="U154" s="21"/>
      <c r="V154" s="20"/>
      <c r="W154" s="20"/>
      <c r="X154" s="20"/>
      <c r="Y154" s="20"/>
      <c r="Z154" s="20"/>
      <c r="AA154" s="20"/>
      <c r="AB154" s="20"/>
      <c r="AC154" s="20"/>
      <c r="AD154" s="10"/>
      <c r="AE154" s="20"/>
      <c r="AF154" s="1"/>
      <c r="AG154" s="1"/>
      <c r="AH154" s="1"/>
      <c r="AI154" s="1"/>
      <c r="AJ154" s="1"/>
      <c r="AK154" s="1"/>
      <c r="AL154" s="1"/>
      <c r="AM154" s="1"/>
    </row>
    <row r="155" spans="1:39" ht="12.75">
      <c r="A155" s="5"/>
      <c r="B155" s="95"/>
      <c r="C155" s="20"/>
      <c r="D155" s="10"/>
      <c r="E155" s="21"/>
      <c r="F155" s="21"/>
      <c r="G155" s="20"/>
      <c r="H155" s="20"/>
      <c r="I155" s="20"/>
      <c r="J155" s="20"/>
      <c r="K155" s="20"/>
      <c r="L155" s="20"/>
      <c r="M155" s="20"/>
      <c r="N155" s="20"/>
      <c r="O155" s="20"/>
      <c r="P155" s="53"/>
      <c r="Q155" s="20"/>
      <c r="R155" s="20"/>
      <c r="S155" s="21"/>
      <c r="T155" s="21"/>
      <c r="U155" s="21"/>
      <c r="V155" s="20"/>
      <c r="W155" s="20"/>
      <c r="X155" s="20"/>
      <c r="Y155" s="20"/>
      <c r="Z155" s="20"/>
      <c r="AA155" s="20"/>
      <c r="AB155" s="20"/>
      <c r="AC155" s="20"/>
      <c r="AD155" s="10"/>
      <c r="AE155" s="20"/>
      <c r="AF155" s="1"/>
      <c r="AG155" s="1"/>
      <c r="AH155" s="1"/>
      <c r="AI155" s="1"/>
      <c r="AJ155" s="1"/>
      <c r="AK155" s="1"/>
      <c r="AL155" s="1"/>
      <c r="AM155" s="1"/>
    </row>
    <row r="156" spans="1:39" ht="12.75">
      <c r="A156" s="5"/>
      <c r="B156" s="95"/>
      <c r="C156" s="20"/>
      <c r="D156" s="10"/>
      <c r="E156" s="21"/>
      <c r="F156" s="21"/>
      <c r="G156" s="20"/>
      <c r="H156" s="20"/>
      <c r="I156" s="20"/>
      <c r="J156" s="20"/>
      <c r="K156" s="20"/>
      <c r="L156" s="20"/>
      <c r="M156" s="20"/>
      <c r="N156" s="20"/>
      <c r="O156" s="20"/>
      <c r="P156" s="53"/>
      <c r="Q156" s="20"/>
      <c r="R156" s="20"/>
      <c r="S156" s="21"/>
      <c r="T156" s="21"/>
      <c r="U156" s="21"/>
      <c r="V156" s="20"/>
      <c r="W156" s="20"/>
      <c r="X156" s="20"/>
      <c r="Y156" s="20"/>
      <c r="Z156" s="20"/>
      <c r="AA156" s="20"/>
      <c r="AB156" s="20"/>
      <c r="AC156" s="20"/>
      <c r="AD156" s="10"/>
      <c r="AE156" s="20"/>
      <c r="AF156" s="1"/>
      <c r="AG156" s="1"/>
      <c r="AH156" s="1"/>
      <c r="AI156" s="1"/>
      <c r="AJ156" s="1"/>
      <c r="AK156" s="1"/>
      <c r="AL156" s="1"/>
      <c r="AM156" s="1"/>
    </row>
    <row r="157" spans="1:39" ht="12.75">
      <c r="A157" s="5"/>
      <c r="B157" s="95"/>
      <c r="C157" s="20"/>
      <c r="D157" s="10"/>
      <c r="E157" s="21"/>
      <c r="F157" s="21"/>
      <c r="G157" s="20"/>
      <c r="H157" s="20"/>
      <c r="I157" s="20"/>
      <c r="J157" s="20"/>
      <c r="K157" s="20"/>
      <c r="L157" s="20"/>
      <c r="M157" s="20"/>
      <c r="N157" s="20"/>
      <c r="O157" s="20"/>
      <c r="P157" s="53"/>
      <c r="Q157" s="20"/>
      <c r="R157" s="20"/>
      <c r="S157" s="21"/>
      <c r="T157" s="21"/>
      <c r="U157" s="21"/>
      <c r="V157" s="20"/>
      <c r="W157" s="20"/>
      <c r="X157" s="20"/>
      <c r="Y157" s="20"/>
      <c r="Z157" s="20"/>
      <c r="AA157" s="20"/>
      <c r="AB157" s="20"/>
      <c r="AC157" s="20"/>
      <c r="AD157" s="10"/>
      <c r="AE157" s="20"/>
      <c r="AF157" s="1"/>
      <c r="AG157" s="1"/>
      <c r="AH157" s="1"/>
      <c r="AI157" s="1"/>
      <c r="AJ157" s="1"/>
      <c r="AK157" s="1"/>
      <c r="AL157" s="1"/>
      <c r="AM157" s="1"/>
    </row>
    <row r="158" spans="1:39" ht="12.75">
      <c r="A158" s="5"/>
      <c r="B158" s="95"/>
      <c r="C158" s="20"/>
      <c r="D158" s="10"/>
      <c r="E158" s="21"/>
      <c r="F158" s="21"/>
      <c r="G158" s="20"/>
      <c r="H158" s="20"/>
      <c r="I158" s="20"/>
      <c r="J158" s="20"/>
      <c r="K158" s="20"/>
      <c r="L158" s="20"/>
      <c r="M158" s="20"/>
      <c r="N158" s="20"/>
      <c r="O158" s="20"/>
      <c r="P158" s="53"/>
      <c r="Q158" s="20"/>
      <c r="R158" s="20"/>
      <c r="S158" s="21"/>
      <c r="T158" s="21"/>
      <c r="U158" s="21"/>
      <c r="V158" s="20"/>
      <c r="W158" s="20"/>
      <c r="X158" s="20"/>
      <c r="Y158" s="20"/>
      <c r="Z158" s="20"/>
      <c r="AA158" s="20"/>
      <c r="AB158" s="20"/>
      <c r="AC158" s="20"/>
      <c r="AD158" s="10"/>
      <c r="AE158" s="20"/>
      <c r="AF158" s="1"/>
      <c r="AG158" s="1"/>
      <c r="AH158" s="1"/>
      <c r="AI158" s="1"/>
      <c r="AJ158" s="1"/>
      <c r="AK158" s="1"/>
      <c r="AL158" s="1"/>
      <c r="AM158" s="1"/>
    </row>
    <row r="159" spans="1:39" ht="12.75">
      <c r="A159" s="5"/>
      <c r="B159" s="95"/>
      <c r="C159" s="20"/>
      <c r="D159" s="10"/>
      <c r="E159" s="21"/>
      <c r="F159" s="21"/>
      <c r="G159" s="20"/>
      <c r="H159" s="20"/>
      <c r="I159" s="20"/>
      <c r="J159" s="20"/>
      <c r="K159" s="20"/>
      <c r="L159" s="20"/>
      <c r="M159" s="20"/>
      <c r="N159" s="20"/>
      <c r="O159" s="20"/>
      <c r="P159" s="53"/>
      <c r="Q159" s="20"/>
      <c r="R159" s="20"/>
      <c r="S159" s="21"/>
      <c r="T159" s="21"/>
      <c r="U159" s="21"/>
      <c r="V159" s="20"/>
      <c r="W159" s="20"/>
      <c r="X159" s="20"/>
      <c r="Y159" s="20"/>
      <c r="Z159" s="20"/>
      <c r="AA159" s="20"/>
      <c r="AB159" s="20"/>
      <c r="AC159" s="20"/>
      <c r="AD159" s="10"/>
      <c r="AE159" s="20"/>
      <c r="AF159" s="1"/>
      <c r="AG159" s="1"/>
      <c r="AH159" s="1"/>
      <c r="AI159" s="1"/>
      <c r="AJ159" s="1"/>
      <c r="AK159" s="1"/>
      <c r="AL159" s="1"/>
      <c r="AM159" s="1"/>
    </row>
    <row r="160" spans="1:39" ht="12.75">
      <c r="A160" s="5"/>
      <c r="B160" s="95"/>
      <c r="C160" s="20"/>
      <c r="D160" s="10"/>
      <c r="E160" s="21"/>
      <c r="F160" s="21"/>
      <c r="G160" s="20"/>
      <c r="H160" s="20"/>
      <c r="I160" s="20"/>
      <c r="J160" s="20"/>
      <c r="K160" s="20"/>
      <c r="L160" s="20"/>
      <c r="M160" s="20"/>
      <c r="N160" s="20"/>
      <c r="O160" s="20"/>
      <c r="P160" s="53"/>
      <c r="Q160" s="20"/>
      <c r="R160" s="20"/>
      <c r="S160" s="21"/>
      <c r="T160" s="21"/>
      <c r="U160" s="21"/>
      <c r="V160" s="20"/>
      <c r="W160" s="20"/>
      <c r="X160" s="20"/>
      <c r="Y160" s="20"/>
      <c r="Z160" s="20"/>
      <c r="AA160" s="20"/>
      <c r="AB160" s="20"/>
      <c r="AC160" s="20"/>
      <c r="AD160" s="10"/>
      <c r="AE160" s="20"/>
      <c r="AF160" s="1"/>
      <c r="AG160" s="1"/>
      <c r="AH160" s="1"/>
      <c r="AI160" s="1"/>
      <c r="AJ160" s="1"/>
      <c r="AK160" s="1"/>
      <c r="AL160" s="1"/>
      <c r="AM160" s="1"/>
    </row>
    <row r="161" spans="1:39" ht="12.75">
      <c r="A161" s="5"/>
      <c r="B161" s="95"/>
      <c r="C161" s="20"/>
      <c r="D161" s="10"/>
      <c r="E161" s="21"/>
      <c r="F161" s="21"/>
      <c r="G161" s="20"/>
      <c r="H161" s="20"/>
      <c r="I161" s="20"/>
      <c r="J161" s="20"/>
      <c r="K161" s="20"/>
      <c r="L161" s="20"/>
      <c r="M161" s="20"/>
      <c r="N161" s="20"/>
      <c r="O161" s="20"/>
      <c r="P161" s="53"/>
      <c r="Q161" s="20"/>
      <c r="R161" s="20"/>
      <c r="S161" s="21"/>
      <c r="T161" s="21"/>
      <c r="U161" s="21"/>
      <c r="V161" s="20"/>
      <c r="W161" s="20"/>
      <c r="X161" s="20"/>
      <c r="Y161" s="20"/>
      <c r="Z161" s="20"/>
      <c r="AA161" s="20"/>
      <c r="AB161" s="20"/>
      <c r="AC161" s="20"/>
      <c r="AD161" s="10"/>
      <c r="AE161" s="20"/>
      <c r="AF161" s="1"/>
      <c r="AG161" s="1"/>
      <c r="AH161" s="1"/>
      <c r="AI161" s="1"/>
      <c r="AJ161" s="1"/>
      <c r="AK161" s="1"/>
      <c r="AL161" s="1"/>
      <c r="AM161" s="1"/>
    </row>
    <row r="162" spans="1:39" ht="12.75">
      <c r="A162" s="5"/>
      <c r="B162" s="95"/>
      <c r="C162" s="20"/>
      <c r="D162" s="10"/>
      <c r="E162" s="21"/>
      <c r="F162" s="21"/>
      <c r="G162" s="20"/>
      <c r="H162" s="20"/>
      <c r="I162" s="20"/>
      <c r="J162" s="20"/>
      <c r="K162" s="20"/>
      <c r="L162" s="20"/>
      <c r="M162" s="20"/>
      <c r="N162" s="20"/>
      <c r="O162" s="20"/>
      <c r="P162" s="53"/>
      <c r="Q162" s="20"/>
      <c r="R162" s="20"/>
      <c r="S162" s="21"/>
      <c r="T162" s="21"/>
      <c r="U162" s="21"/>
      <c r="V162" s="20"/>
      <c r="W162" s="20"/>
      <c r="X162" s="20"/>
      <c r="Y162" s="20"/>
      <c r="Z162" s="20"/>
      <c r="AA162" s="20"/>
      <c r="AB162" s="20"/>
      <c r="AC162" s="20"/>
      <c r="AD162" s="10"/>
      <c r="AE162" s="20"/>
      <c r="AF162" s="1"/>
      <c r="AG162" s="1"/>
      <c r="AH162" s="1"/>
      <c r="AI162" s="1"/>
      <c r="AJ162" s="1"/>
      <c r="AK162" s="1"/>
      <c r="AL162" s="1"/>
      <c r="AM162" s="1"/>
    </row>
    <row r="163" spans="1:39" ht="12.75">
      <c r="A163" s="5"/>
      <c r="B163" s="95"/>
      <c r="C163" s="20"/>
      <c r="D163" s="10"/>
      <c r="E163" s="21"/>
      <c r="F163" s="21"/>
      <c r="G163" s="20"/>
      <c r="H163" s="20"/>
      <c r="I163" s="20"/>
      <c r="J163" s="20"/>
      <c r="K163" s="20"/>
      <c r="L163" s="20"/>
      <c r="M163" s="20"/>
      <c r="N163" s="20"/>
      <c r="O163" s="20"/>
      <c r="P163" s="53"/>
      <c r="Q163" s="20"/>
      <c r="R163" s="20"/>
      <c r="S163" s="21"/>
      <c r="T163" s="21"/>
      <c r="U163" s="21"/>
      <c r="V163" s="20"/>
      <c r="W163" s="20"/>
      <c r="X163" s="20"/>
      <c r="Y163" s="20"/>
      <c r="Z163" s="20"/>
      <c r="AA163" s="20"/>
      <c r="AB163" s="20"/>
      <c r="AC163" s="20"/>
      <c r="AD163" s="10"/>
      <c r="AE163" s="20"/>
      <c r="AF163" s="1"/>
      <c r="AG163" s="1"/>
      <c r="AH163" s="1"/>
      <c r="AI163" s="1"/>
      <c r="AJ163" s="1"/>
      <c r="AK163" s="1"/>
      <c r="AL163" s="1"/>
      <c r="AM163" s="1"/>
    </row>
    <row r="164" spans="1:39" ht="12.75">
      <c r="A164" s="5"/>
      <c r="B164" s="95"/>
      <c r="C164" s="20"/>
      <c r="D164" s="10"/>
      <c r="E164" s="21"/>
      <c r="F164" s="21"/>
      <c r="G164" s="20"/>
      <c r="H164" s="20"/>
      <c r="I164" s="20"/>
      <c r="J164" s="20"/>
      <c r="K164" s="20"/>
      <c r="L164" s="20"/>
      <c r="M164" s="20"/>
      <c r="N164" s="20"/>
      <c r="O164" s="20"/>
      <c r="P164" s="53"/>
      <c r="Q164" s="20"/>
      <c r="R164" s="20"/>
      <c r="S164" s="21"/>
      <c r="T164" s="21"/>
      <c r="U164" s="21"/>
      <c r="V164" s="20"/>
      <c r="W164" s="20"/>
      <c r="X164" s="20"/>
      <c r="Y164" s="20"/>
      <c r="Z164" s="20"/>
      <c r="AA164" s="20"/>
      <c r="AB164" s="20"/>
      <c r="AC164" s="20"/>
      <c r="AD164" s="10"/>
      <c r="AE164" s="20"/>
      <c r="AF164" s="1"/>
      <c r="AG164" s="1"/>
      <c r="AH164" s="1"/>
      <c r="AI164" s="1"/>
      <c r="AJ164" s="1"/>
      <c r="AK164" s="1"/>
      <c r="AL164" s="1"/>
      <c r="AM164" s="1"/>
    </row>
    <row r="165" spans="1:39" ht="12.75">
      <c r="A165" s="5"/>
      <c r="B165" s="95"/>
      <c r="C165" s="20"/>
      <c r="D165" s="10"/>
      <c r="E165" s="21"/>
      <c r="F165" s="21"/>
      <c r="G165" s="20"/>
      <c r="H165" s="20"/>
      <c r="I165" s="20"/>
      <c r="J165" s="20"/>
      <c r="K165" s="20"/>
      <c r="L165" s="20"/>
      <c r="M165" s="20"/>
      <c r="N165" s="20"/>
      <c r="O165" s="20"/>
      <c r="P165" s="53"/>
      <c r="Q165" s="20"/>
      <c r="R165" s="20"/>
      <c r="S165" s="21"/>
      <c r="T165" s="21"/>
      <c r="U165" s="21"/>
      <c r="V165" s="20"/>
      <c r="W165" s="20"/>
      <c r="X165" s="20"/>
      <c r="Y165" s="20"/>
      <c r="Z165" s="20"/>
      <c r="AA165" s="20"/>
      <c r="AB165" s="20"/>
      <c r="AC165" s="20"/>
      <c r="AD165" s="10"/>
      <c r="AE165" s="20"/>
      <c r="AF165" s="1"/>
      <c r="AG165" s="1"/>
      <c r="AH165" s="1"/>
      <c r="AI165" s="1"/>
      <c r="AJ165" s="1"/>
      <c r="AK165" s="1"/>
      <c r="AL165" s="1"/>
      <c r="AM165" s="1"/>
    </row>
    <row r="166" spans="1:39" ht="12.75">
      <c r="A166" s="5"/>
      <c r="B166" s="95"/>
      <c r="C166" s="20"/>
      <c r="D166" s="10"/>
      <c r="E166" s="21"/>
      <c r="F166" s="21"/>
      <c r="G166" s="20"/>
      <c r="H166" s="20"/>
      <c r="I166" s="20"/>
      <c r="J166" s="20"/>
      <c r="K166" s="20"/>
      <c r="L166" s="20"/>
      <c r="M166" s="20"/>
      <c r="N166" s="20"/>
      <c r="O166" s="20"/>
      <c r="P166" s="53"/>
      <c r="Q166" s="20"/>
      <c r="R166" s="20"/>
      <c r="S166" s="21"/>
      <c r="T166" s="21"/>
      <c r="U166" s="21"/>
      <c r="V166" s="20"/>
      <c r="W166" s="20"/>
      <c r="X166" s="20"/>
      <c r="Y166" s="20"/>
      <c r="Z166" s="20"/>
      <c r="AA166" s="20"/>
      <c r="AB166" s="20"/>
      <c r="AC166" s="20"/>
      <c r="AD166" s="10"/>
      <c r="AE166" s="20"/>
      <c r="AF166" s="1"/>
      <c r="AG166" s="1"/>
      <c r="AH166" s="1"/>
      <c r="AI166" s="1"/>
      <c r="AJ166" s="1"/>
      <c r="AK166" s="1"/>
      <c r="AL166" s="1"/>
      <c r="AM166" s="1"/>
    </row>
    <row r="167" spans="1:39" ht="12.75">
      <c r="A167" s="5"/>
      <c r="B167" s="95"/>
      <c r="C167" s="20"/>
      <c r="D167" s="10"/>
      <c r="E167" s="21"/>
      <c r="F167" s="21"/>
      <c r="G167" s="20"/>
      <c r="H167" s="20"/>
      <c r="I167" s="20"/>
      <c r="J167" s="20"/>
      <c r="K167" s="20"/>
      <c r="L167" s="20"/>
      <c r="M167" s="20"/>
      <c r="N167" s="20"/>
      <c r="O167" s="20"/>
      <c r="P167" s="53"/>
      <c r="Q167" s="20"/>
      <c r="R167" s="20"/>
      <c r="S167" s="21"/>
      <c r="T167" s="21"/>
      <c r="U167" s="21"/>
      <c r="V167" s="20"/>
      <c r="W167" s="20"/>
      <c r="X167" s="20"/>
      <c r="Y167" s="20"/>
      <c r="Z167" s="20"/>
      <c r="AA167" s="20"/>
      <c r="AB167" s="20"/>
      <c r="AC167" s="20"/>
      <c r="AD167" s="10"/>
      <c r="AE167" s="20"/>
      <c r="AF167" s="1"/>
      <c r="AG167" s="1"/>
      <c r="AH167" s="1"/>
      <c r="AI167" s="1"/>
      <c r="AJ167" s="1"/>
      <c r="AK167" s="1"/>
      <c r="AL167" s="1"/>
      <c r="AM167" s="1"/>
    </row>
    <row r="168" spans="1:39" ht="12.75">
      <c r="A168" s="5"/>
      <c r="B168" s="95"/>
      <c r="C168" s="20"/>
      <c r="D168" s="10"/>
      <c r="E168" s="21"/>
      <c r="F168" s="21"/>
      <c r="G168" s="20"/>
      <c r="H168" s="20"/>
      <c r="I168" s="20"/>
      <c r="J168" s="20"/>
      <c r="K168" s="20"/>
      <c r="L168" s="20"/>
      <c r="M168" s="20"/>
      <c r="N168" s="20"/>
      <c r="O168" s="20"/>
      <c r="P168" s="53"/>
      <c r="Q168" s="20"/>
      <c r="R168" s="20"/>
      <c r="S168" s="21"/>
      <c r="T168" s="21"/>
      <c r="U168" s="21"/>
      <c r="V168" s="20"/>
      <c r="W168" s="20"/>
      <c r="X168" s="20"/>
      <c r="Y168" s="20"/>
      <c r="Z168" s="20"/>
      <c r="AA168" s="20"/>
      <c r="AB168" s="20"/>
      <c r="AC168" s="20"/>
      <c r="AD168" s="10"/>
      <c r="AE168" s="20"/>
      <c r="AF168" s="1"/>
      <c r="AG168" s="1"/>
      <c r="AH168" s="1"/>
      <c r="AI168" s="1"/>
      <c r="AJ168" s="1"/>
      <c r="AK168" s="1"/>
      <c r="AL168" s="1"/>
      <c r="AM168" s="1"/>
    </row>
    <row r="169" spans="1:39" ht="12.75">
      <c r="A169" s="5"/>
      <c r="B169" s="95"/>
      <c r="C169" s="20"/>
      <c r="D169" s="10"/>
      <c r="E169" s="21"/>
      <c r="F169" s="21"/>
      <c r="G169" s="20"/>
      <c r="H169" s="20"/>
      <c r="I169" s="20"/>
      <c r="J169" s="20"/>
      <c r="K169" s="20"/>
      <c r="L169" s="20"/>
      <c r="M169" s="20"/>
      <c r="N169" s="20"/>
      <c r="O169" s="20"/>
      <c r="P169" s="53"/>
      <c r="Q169" s="20"/>
      <c r="R169" s="20"/>
      <c r="S169" s="21"/>
      <c r="T169" s="21"/>
      <c r="U169" s="21"/>
      <c r="V169" s="20"/>
      <c r="W169" s="20"/>
      <c r="X169" s="20"/>
      <c r="Y169" s="20"/>
      <c r="Z169" s="20"/>
      <c r="AA169" s="20"/>
      <c r="AB169" s="20"/>
      <c r="AC169" s="20"/>
      <c r="AD169" s="10"/>
      <c r="AE169" s="20"/>
      <c r="AF169" s="1"/>
      <c r="AG169" s="1"/>
      <c r="AH169" s="1"/>
      <c r="AI169" s="1"/>
      <c r="AJ169" s="1"/>
      <c r="AK169" s="1"/>
      <c r="AL169" s="1"/>
      <c r="AM169" s="1"/>
    </row>
    <row r="170" spans="1:39" ht="12.75">
      <c r="A170" s="5"/>
      <c r="B170" s="95"/>
      <c r="C170" s="20"/>
      <c r="D170" s="10"/>
      <c r="E170" s="21"/>
      <c r="F170" s="21"/>
      <c r="G170" s="20"/>
      <c r="H170" s="20"/>
      <c r="I170" s="20"/>
      <c r="J170" s="20"/>
      <c r="K170" s="20"/>
      <c r="L170" s="20"/>
      <c r="M170" s="20"/>
      <c r="N170" s="20"/>
      <c r="O170" s="20"/>
      <c r="P170" s="53"/>
      <c r="Q170" s="20"/>
      <c r="R170" s="20"/>
      <c r="S170" s="21"/>
      <c r="T170" s="21"/>
      <c r="U170" s="21"/>
      <c r="V170" s="20"/>
      <c r="W170" s="20"/>
      <c r="X170" s="20"/>
      <c r="Y170" s="20"/>
      <c r="Z170" s="20"/>
      <c r="AA170" s="20"/>
      <c r="AB170" s="20"/>
      <c r="AC170" s="20"/>
      <c r="AD170" s="10"/>
      <c r="AE170" s="20"/>
      <c r="AF170" s="1"/>
      <c r="AG170" s="1"/>
      <c r="AH170" s="1"/>
      <c r="AI170" s="1"/>
      <c r="AJ170" s="1"/>
      <c r="AK170" s="1"/>
      <c r="AL170" s="1"/>
      <c r="AM170" s="1"/>
    </row>
    <row r="171" spans="1:39" ht="12.75">
      <c r="A171" s="5"/>
      <c r="B171" s="95"/>
      <c r="C171" s="20"/>
      <c r="D171" s="10"/>
      <c r="E171" s="21"/>
      <c r="F171" s="21"/>
      <c r="G171" s="20"/>
      <c r="H171" s="20"/>
      <c r="I171" s="20"/>
      <c r="J171" s="20"/>
      <c r="K171" s="20"/>
      <c r="L171" s="20"/>
      <c r="M171" s="20"/>
      <c r="N171" s="20"/>
      <c r="O171" s="20"/>
      <c r="P171" s="53"/>
      <c r="Q171" s="20"/>
      <c r="R171" s="20"/>
      <c r="S171" s="21"/>
      <c r="T171" s="21"/>
      <c r="U171" s="21"/>
      <c r="V171" s="20"/>
      <c r="W171" s="20"/>
      <c r="X171" s="20"/>
      <c r="Y171" s="20"/>
      <c r="Z171" s="20"/>
      <c r="AA171" s="20"/>
      <c r="AB171" s="20"/>
      <c r="AC171" s="20"/>
      <c r="AD171" s="10"/>
      <c r="AE171" s="20"/>
      <c r="AF171" s="1"/>
      <c r="AG171" s="1"/>
      <c r="AH171" s="1"/>
      <c r="AI171" s="1"/>
      <c r="AJ171" s="1"/>
      <c r="AK171" s="1"/>
      <c r="AL171" s="1"/>
      <c r="AM171" s="1"/>
    </row>
    <row r="172" spans="1:39" ht="12.75">
      <c r="A172" s="5"/>
      <c r="B172" s="95"/>
      <c r="C172" s="20"/>
      <c r="D172" s="10"/>
      <c r="E172" s="21"/>
      <c r="F172" s="21"/>
      <c r="G172" s="20"/>
      <c r="H172" s="20"/>
      <c r="I172" s="20"/>
      <c r="J172" s="20"/>
      <c r="K172" s="20"/>
      <c r="L172" s="20"/>
      <c r="M172" s="20"/>
      <c r="N172" s="20"/>
      <c r="O172" s="20"/>
      <c r="P172" s="53"/>
      <c r="Q172" s="20"/>
      <c r="R172" s="20"/>
      <c r="S172" s="21"/>
      <c r="T172" s="21"/>
      <c r="U172" s="21"/>
      <c r="V172" s="20"/>
      <c r="W172" s="20"/>
      <c r="X172" s="20"/>
      <c r="Y172" s="20"/>
      <c r="Z172" s="20"/>
      <c r="AA172" s="20"/>
      <c r="AB172" s="20"/>
      <c r="AC172" s="20"/>
      <c r="AD172" s="10"/>
      <c r="AE172" s="20"/>
      <c r="AF172" s="1"/>
      <c r="AG172" s="1"/>
      <c r="AH172" s="1"/>
      <c r="AI172" s="1"/>
      <c r="AJ172" s="1"/>
      <c r="AK172" s="1"/>
      <c r="AL172" s="1"/>
      <c r="AM172" s="1"/>
    </row>
    <row r="173" spans="1:39" ht="12.75">
      <c r="A173" s="5"/>
      <c r="B173" s="95"/>
      <c r="C173" s="20"/>
      <c r="D173" s="10"/>
      <c r="E173" s="21"/>
      <c r="F173" s="21"/>
      <c r="G173" s="20"/>
      <c r="H173" s="20"/>
      <c r="I173" s="20"/>
      <c r="J173" s="20"/>
      <c r="K173" s="20"/>
      <c r="L173" s="20"/>
      <c r="M173" s="20"/>
      <c r="N173" s="20"/>
      <c r="O173" s="20"/>
      <c r="P173" s="53"/>
      <c r="Q173" s="20"/>
      <c r="R173" s="20"/>
      <c r="S173" s="21"/>
      <c r="T173" s="21"/>
      <c r="U173" s="21"/>
      <c r="V173" s="20"/>
      <c r="W173" s="20"/>
      <c r="X173" s="20"/>
      <c r="Y173" s="20"/>
      <c r="Z173" s="20"/>
      <c r="AA173" s="20"/>
      <c r="AB173" s="20"/>
      <c r="AC173" s="20"/>
      <c r="AD173" s="10"/>
      <c r="AE173" s="20"/>
      <c r="AF173" s="1"/>
      <c r="AG173" s="1"/>
      <c r="AH173" s="1"/>
      <c r="AI173" s="1"/>
      <c r="AJ173" s="1"/>
      <c r="AK173" s="1"/>
      <c r="AL173" s="1"/>
      <c r="AM173" s="1"/>
    </row>
    <row r="174" spans="1:39" ht="12.75">
      <c r="A174" s="5"/>
      <c r="B174" s="95"/>
      <c r="C174" s="20"/>
      <c r="D174" s="10"/>
      <c r="E174" s="21"/>
      <c r="F174" s="21"/>
      <c r="G174" s="20"/>
      <c r="H174" s="20"/>
      <c r="I174" s="20"/>
      <c r="J174" s="20"/>
      <c r="K174" s="20"/>
      <c r="L174" s="20"/>
      <c r="M174" s="20"/>
      <c r="N174" s="20"/>
      <c r="O174" s="20"/>
      <c r="P174" s="53"/>
      <c r="Q174" s="20"/>
      <c r="R174" s="20"/>
      <c r="S174" s="21"/>
      <c r="T174" s="21"/>
      <c r="U174" s="21"/>
      <c r="V174" s="20"/>
      <c r="W174" s="20"/>
      <c r="X174" s="20"/>
      <c r="Y174" s="20"/>
      <c r="Z174" s="20"/>
      <c r="AA174" s="20"/>
      <c r="AB174" s="20"/>
      <c r="AC174" s="20"/>
      <c r="AD174" s="10"/>
      <c r="AE174" s="20"/>
      <c r="AF174" s="1"/>
      <c r="AG174" s="1"/>
      <c r="AH174" s="1"/>
      <c r="AI174" s="1"/>
      <c r="AJ174" s="1"/>
      <c r="AK174" s="1"/>
      <c r="AL174" s="1"/>
      <c r="AM174" s="1"/>
    </row>
    <row r="175" spans="1:39" ht="12.75">
      <c r="A175" s="5"/>
      <c r="B175" s="95"/>
      <c r="C175" s="20"/>
      <c r="D175" s="10"/>
      <c r="E175" s="21"/>
      <c r="F175" s="21"/>
      <c r="G175" s="20"/>
      <c r="H175" s="20"/>
      <c r="I175" s="20"/>
      <c r="J175" s="20"/>
      <c r="K175" s="20"/>
      <c r="L175" s="20"/>
      <c r="M175" s="20"/>
      <c r="N175" s="20"/>
      <c r="O175" s="20"/>
      <c r="P175" s="53"/>
      <c r="Q175" s="20"/>
      <c r="R175" s="20"/>
      <c r="S175" s="21"/>
      <c r="T175" s="21"/>
      <c r="U175" s="21"/>
      <c r="V175" s="20"/>
      <c r="W175" s="20"/>
      <c r="X175" s="20"/>
      <c r="Y175" s="20"/>
      <c r="Z175" s="20"/>
      <c r="AA175" s="20"/>
      <c r="AB175" s="20"/>
      <c r="AC175" s="20"/>
      <c r="AD175" s="10"/>
      <c r="AE175" s="20"/>
      <c r="AF175" s="1"/>
      <c r="AG175" s="1"/>
      <c r="AH175" s="1"/>
      <c r="AI175" s="1"/>
      <c r="AJ175" s="1"/>
      <c r="AK175" s="1"/>
      <c r="AL175" s="1"/>
      <c r="AM175" s="1"/>
    </row>
    <row r="176" spans="1:39" ht="12.75">
      <c r="A176" s="5"/>
      <c r="B176" s="95"/>
      <c r="C176" s="20"/>
      <c r="D176" s="10"/>
      <c r="E176" s="21"/>
      <c r="F176" s="21"/>
      <c r="G176" s="20"/>
      <c r="H176" s="20"/>
      <c r="I176" s="20"/>
      <c r="J176" s="20"/>
      <c r="K176" s="20"/>
      <c r="L176" s="20"/>
      <c r="M176" s="20"/>
      <c r="N176" s="20"/>
      <c r="O176" s="20"/>
      <c r="P176" s="53"/>
      <c r="Q176" s="20"/>
      <c r="R176" s="20"/>
      <c r="S176" s="21"/>
      <c r="T176" s="21"/>
      <c r="U176" s="21"/>
      <c r="V176" s="20"/>
      <c r="W176" s="20"/>
      <c r="X176" s="20"/>
      <c r="Y176" s="20"/>
      <c r="Z176" s="20"/>
      <c r="AA176" s="20"/>
      <c r="AB176" s="20"/>
      <c r="AC176" s="20"/>
      <c r="AD176" s="10"/>
      <c r="AE176" s="20"/>
      <c r="AF176" s="1"/>
      <c r="AG176" s="1"/>
      <c r="AH176" s="1"/>
      <c r="AI176" s="1"/>
      <c r="AJ176" s="1"/>
      <c r="AK176" s="1"/>
      <c r="AL176" s="1"/>
      <c r="AM176" s="1"/>
    </row>
    <row r="177" spans="1:39" ht="12.75">
      <c r="A177" s="5"/>
      <c r="B177" s="95"/>
      <c r="C177" s="20"/>
      <c r="D177" s="10"/>
      <c r="E177" s="21"/>
      <c r="F177" s="21"/>
      <c r="G177" s="20"/>
      <c r="H177" s="20"/>
      <c r="I177" s="20"/>
      <c r="J177" s="20"/>
      <c r="K177" s="20"/>
      <c r="L177" s="20"/>
      <c r="M177" s="20"/>
      <c r="N177" s="20"/>
      <c r="O177" s="20"/>
      <c r="P177" s="53"/>
      <c r="Q177" s="20"/>
      <c r="R177" s="20"/>
      <c r="S177" s="21"/>
      <c r="T177" s="21"/>
      <c r="U177" s="21"/>
      <c r="V177" s="20"/>
      <c r="W177" s="20"/>
      <c r="X177" s="20"/>
      <c r="Y177" s="20"/>
      <c r="Z177" s="20"/>
      <c r="AA177" s="20"/>
      <c r="AB177" s="20"/>
      <c r="AC177" s="20"/>
      <c r="AD177" s="10"/>
      <c r="AE177" s="20"/>
      <c r="AF177" s="1"/>
      <c r="AG177" s="1"/>
      <c r="AH177" s="1"/>
      <c r="AI177" s="1"/>
      <c r="AJ177" s="1"/>
      <c r="AK177" s="1"/>
      <c r="AL177" s="1"/>
      <c r="AM177" s="1"/>
    </row>
    <row r="178" spans="1:39" ht="12.75">
      <c r="A178" s="5"/>
      <c r="B178" s="95"/>
      <c r="C178" s="20"/>
      <c r="D178" s="10"/>
      <c r="E178" s="21"/>
      <c r="F178" s="21"/>
      <c r="G178" s="20"/>
      <c r="H178" s="20"/>
      <c r="I178" s="20"/>
      <c r="J178" s="20"/>
      <c r="K178" s="20"/>
      <c r="L178" s="20"/>
      <c r="M178" s="20"/>
      <c r="N178" s="20"/>
      <c r="O178" s="20"/>
      <c r="P178" s="53"/>
      <c r="Q178" s="20"/>
      <c r="R178" s="20"/>
      <c r="S178" s="21"/>
      <c r="T178" s="21"/>
      <c r="U178" s="21"/>
      <c r="V178" s="20"/>
      <c r="W178" s="20"/>
      <c r="X178" s="20"/>
      <c r="Y178" s="20"/>
      <c r="Z178" s="20"/>
      <c r="AA178" s="20"/>
      <c r="AB178" s="20"/>
      <c r="AC178" s="20"/>
      <c r="AD178" s="10"/>
      <c r="AE178" s="20"/>
      <c r="AF178" s="1"/>
      <c r="AG178" s="1"/>
      <c r="AH178" s="1"/>
      <c r="AI178" s="1"/>
      <c r="AJ178" s="1"/>
      <c r="AK178" s="1"/>
      <c r="AL178" s="1"/>
      <c r="AM178" s="1"/>
    </row>
    <row r="179" spans="1:39" ht="12.75">
      <c r="A179" s="5"/>
      <c r="B179" s="95"/>
      <c r="C179" s="20"/>
      <c r="D179" s="10"/>
      <c r="E179" s="21"/>
      <c r="F179" s="21"/>
      <c r="G179" s="20"/>
      <c r="H179" s="20"/>
      <c r="I179" s="20"/>
      <c r="J179" s="20"/>
      <c r="K179" s="20"/>
      <c r="L179" s="20"/>
      <c r="M179" s="20"/>
      <c r="N179" s="20"/>
      <c r="O179" s="20"/>
      <c r="P179" s="53"/>
      <c r="Q179" s="20"/>
      <c r="R179" s="20"/>
      <c r="S179" s="21"/>
      <c r="T179" s="21"/>
      <c r="U179" s="21"/>
      <c r="V179" s="20"/>
      <c r="W179" s="20"/>
      <c r="X179" s="20"/>
      <c r="Y179" s="20"/>
      <c r="Z179" s="20"/>
      <c r="AA179" s="20"/>
      <c r="AB179" s="20"/>
      <c r="AC179" s="20"/>
      <c r="AD179" s="10"/>
      <c r="AE179" s="20"/>
      <c r="AF179" s="1"/>
      <c r="AG179" s="1"/>
      <c r="AH179" s="1"/>
      <c r="AI179" s="1"/>
      <c r="AJ179" s="1"/>
      <c r="AK179" s="1"/>
      <c r="AL179" s="1"/>
      <c r="AM179" s="1"/>
    </row>
    <row r="180" spans="1:39" ht="12.75">
      <c r="A180" s="5"/>
      <c r="B180" s="95"/>
      <c r="C180" s="20"/>
      <c r="D180" s="10"/>
      <c r="E180" s="21"/>
      <c r="F180" s="21"/>
      <c r="G180" s="20"/>
      <c r="H180" s="20"/>
      <c r="I180" s="20"/>
      <c r="J180" s="20"/>
      <c r="K180" s="20"/>
      <c r="L180" s="20"/>
      <c r="M180" s="20"/>
      <c r="N180" s="20"/>
      <c r="O180" s="20"/>
      <c r="P180" s="53"/>
      <c r="Q180" s="20"/>
      <c r="R180" s="20"/>
      <c r="S180" s="21"/>
      <c r="T180" s="21"/>
      <c r="U180" s="21"/>
      <c r="V180" s="20"/>
      <c r="W180" s="20"/>
      <c r="X180" s="20"/>
      <c r="Y180" s="20"/>
      <c r="Z180" s="20"/>
      <c r="AA180" s="20"/>
      <c r="AB180" s="20"/>
      <c r="AC180" s="20"/>
      <c r="AD180" s="10"/>
      <c r="AE180" s="20"/>
      <c r="AF180" s="1"/>
      <c r="AG180" s="1"/>
      <c r="AH180" s="1"/>
      <c r="AI180" s="1"/>
      <c r="AJ180" s="1"/>
      <c r="AK180" s="1"/>
      <c r="AL180" s="1"/>
      <c r="AM180" s="1"/>
    </row>
    <row r="181" spans="1:39" ht="12.75">
      <c r="A181" s="5"/>
      <c r="B181" s="95"/>
      <c r="C181" s="20"/>
      <c r="D181" s="10"/>
      <c r="E181" s="21"/>
      <c r="F181" s="21"/>
      <c r="G181" s="20"/>
      <c r="H181" s="20"/>
      <c r="I181" s="20"/>
      <c r="J181" s="20"/>
      <c r="K181" s="20"/>
      <c r="L181" s="20"/>
      <c r="M181" s="20"/>
      <c r="N181" s="20"/>
      <c r="O181" s="20"/>
      <c r="P181" s="53"/>
      <c r="Q181" s="20"/>
      <c r="R181" s="20"/>
      <c r="S181" s="21"/>
      <c r="T181" s="21"/>
      <c r="U181" s="21"/>
      <c r="V181" s="20"/>
      <c r="W181" s="20"/>
      <c r="X181" s="20"/>
      <c r="Y181" s="20"/>
      <c r="Z181" s="20"/>
      <c r="AA181" s="20"/>
      <c r="AB181" s="20"/>
      <c r="AC181" s="20"/>
      <c r="AD181" s="10"/>
      <c r="AE181" s="20"/>
      <c r="AF181" s="1"/>
      <c r="AG181" s="1"/>
      <c r="AH181" s="1"/>
      <c r="AI181" s="1"/>
      <c r="AJ181" s="1"/>
      <c r="AK181" s="1"/>
      <c r="AL181" s="1"/>
      <c r="AM181" s="1"/>
    </row>
    <row r="182" spans="1:39" ht="12.75">
      <c r="A182" s="5"/>
      <c r="B182" s="95"/>
      <c r="C182" s="20"/>
      <c r="D182" s="10"/>
      <c r="E182" s="21"/>
      <c r="F182" s="21"/>
      <c r="G182" s="20"/>
      <c r="H182" s="20"/>
      <c r="I182" s="20"/>
      <c r="J182" s="20"/>
      <c r="K182" s="20"/>
      <c r="L182" s="20"/>
      <c r="M182" s="20"/>
      <c r="N182" s="20"/>
      <c r="O182" s="20"/>
      <c r="P182" s="53"/>
      <c r="Q182" s="20"/>
      <c r="R182" s="20"/>
      <c r="S182" s="21"/>
      <c r="T182" s="21"/>
      <c r="U182" s="21"/>
      <c r="V182" s="20"/>
      <c r="W182" s="20"/>
      <c r="X182" s="20"/>
      <c r="Y182" s="20"/>
      <c r="Z182" s="20"/>
      <c r="AA182" s="20"/>
      <c r="AB182" s="20"/>
      <c r="AC182" s="20"/>
      <c r="AD182" s="10"/>
      <c r="AE182" s="20"/>
      <c r="AF182" s="1"/>
      <c r="AG182" s="1"/>
      <c r="AH182" s="1"/>
      <c r="AI182" s="1"/>
      <c r="AJ182" s="1"/>
      <c r="AK182" s="1"/>
      <c r="AL182" s="1"/>
      <c r="AM182" s="1"/>
    </row>
    <row r="183" spans="1:39" ht="12.75">
      <c r="A183" s="5"/>
      <c r="B183" s="95"/>
      <c r="C183" s="20"/>
      <c r="D183" s="10"/>
      <c r="E183" s="21"/>
      <c r="F183" s="21"/>
      <c r="G183" s="20"/>
      <c r="H183" s="20"/>
      <c r="I183" s="20"/>
      <c r="J183" s="20"/>
      <c r="K183" s="20"/>
      <c r="L183" s="20"/>
      <c r="M183" s="20"/>
      <c r="N183" s="20"/>
      <c r="O183" s="20"/>
      <c r="P183" s="53"/>
      <c r="Q183" s="20"/>
      <c r="R183" s="20"/>
      <c r="S183" s="21"/>
      <c r="T183" s="21"/>
      <c r="U183" s="21"/>
      <c r="V183" s="20"/>
      <c r="W183" s="20"/>
      <c r="X183" s="20"/>
      <c r="Y183" s="20"/>
      <c r="Z183" s="20"/>
      <c r="AA183" s="20"/>
      <c r="AB183" s="20"/>
      <c r="AC183" s="20"/>
      <c r="AD183" s="10"/>
      <c r="AE183" s="20"/>
      <c r="AF183" s="1"/>
      <c r="AG183" s="1"/>
      <c r="AH183" s="1"/>
      <c r="AI183" s="1"/>
      <c r="AJ183" s="1"/>
      <c r="AK183" s="1"/>
      <c r="AL183" s="1"/>
      <c r="AM183" s="1"/>
    </row>
    <row r="184" spans="1:39" ht="12.75">
      <c r="A184" s="5"/>
      <c r="B184" s="95"/>
      <c r="C184" s="20"/>
      <c r="D184" s="10"/>
      <c r="E184" s="21"/>
      <c r="F184" s="21"/>
      <c r="G184" s="20"/>
      <c r="H184" s="20"/>
      <c r="I184" s="20"/>
      <c r="J184" s="20"/>
      <c r="K184" s="20"/>
      <c r="L184" s="20"/>
      <c r="M184" s="20"/>
      <c r="N184" s="20"/>
      <c r="O184" s="20"/>
      <c r="P184" s="53"/>
      <c r="Q184" s="20"/>
      <c r="R184" s="20"/>
      <c r="S184" s="21"/>
      <c r="T184" s="21"/>
      <c r="U184" s="21"/>
      <c r="V184" s="20"/>
      <c r="W184" s="20"/>
      <c r="X184" s="20"/>
      <c r="Y184" s="20"/>
      <c r="Z184" s="20"/>
      <c r="AA184" s="20"/>
      <c r="AB184" s="20"/>
      <c r="AC184" s="20"/>
      <c r="AD184" s="10"/>
      <c r="AE184" s="20"/>
      <c r="AF184" s="1"/>
      <c r="AG184" s="1"/>
      <c r="AH184" s="1"/>
      <c r="AI184" s="1"/>
      <c r="AJ184" s="1"/>
      <c r="AK184" s="1"/>
      <c r="AL184" s="1"/>
      <c r="AM184" s="1"/>
    </row>
    <row r="185" spans="1:39" ht="12.75">
      <c r="A185" s="10"/>
      <c r="B185" s="95"/>
      <c r="C185" s="20"/>
      <c r="D185" s="10"/>
      <c r="E185" s="21"/>
      <c r="F185" s="21"/>
      <c r="G185" s="20"/>
      <c r="H185" s="20"/>
      <c r="I185" s="20"/>
      <c r="J185" s="20"/>
      <c r="K185" s="20"/>
      <c r="L185" s="20"/>
      <c r="M185" s="20"/>
      <c r="N185" s="20"/>
      <c r="O185" s="20"/>
      <c r="P185" s="53"/>
      <c r="Q185" s="20"/>
      <c r="R185" s="20"/>
      <c r="S185" s="21"/>
      <c r="T185" s="21"/>
      <c r="U185" s="21"/>
      <c r="V185" s="20"/>
      <c r="W185" s="20"/>
      <c r="X185" s="20"/>
      <c r="Y185" s="20"/>
      <c r="Z185" s="20"/>
      <c r="AA185" s="20"/>
      <c r="AB185" s="20"/>
      <c r="AC185" s="20"/>
      <c r="AD185" s="10"/>
      <c r="AE185" s="20"/>
      <c r="AF185" s="1"/>
      <c r="AG185" s="1"/>
      <c r="AH185" s="1"/>
      <c r="AI185" s="1"/>
      <c r="AJ185" s="1"/>
      <c r="AK185" s="1"/>
      <c r="AL185" s="1"/>
      <c r="AM185" s="1"/>
    </row>
    <row r="186" spans="1:39" ht="12.75">
      <c r="A186" s="5"/>
      <c r="B186" s="95"/>
      <c r="C186" s="20"/>
      <c r="D186" s="10"/>
      <c r="E186" s="21"/>
      <c r="F186" s="21"/>
      <c r="G186" s="20"/>
      <c r="H186" s="20"/>
      <c r="I186" s="20"/>
      <c r="J186" s="20"/>
      <c r="K186" s="20"/>
      <c r="L186" s="20"/>
      <c r="M186" s="20"/>
      <c r="N186" s="20"/>
      <c r="O186" s="20"/>
      <c r="P186" s="53"/>
      <c r="Q186" s="20"/>
      <c r="R186" s="20"/>
      <c r="S186" s="21"/>
      <c r="T186" s="21"/>
      <c r="U186" s="21"/>
      <c r="V186" s="20"/>
      <c r="W186" s="20"/>
      <c r="X186" s="20"/>
      <c r="Y186" s="20"/>
      <c r="Z186" s="20"/>
      <c r="AA186" s="20"/>
      <c r="AB186" s="20"/>
      <c r="AC186" s="20"/>
      <c r="AD186" s="10"/>
      <c r="AE186" s="20"/>
      <c r="AF186" s="1"/>
      <c r="AG186" s="1"/>
      <c r="AH186" s="1"/>
      <c r="AI186" s="1"/>
      <c r="AJ186" s="1"/>
      <c r="AK186" s="1"/>
      <c r="AL186" s="1"/>
      <c r="AM186" s="1"/>
    </row>
    <row r="187" spans="1:39" ht="12.75">
      <c r="A187" s="10"/>
      <c r="B187" s="95"/>
      <c r="C187" s="20"/>
      <c r="D187" s="10"/>
      <c r="E187" s="21"/>
      <c r="F187" s="21"/>
      <c r="G187" s="20"/>
      <c r="H187" s="20"/>
      <c r="I187" s="20"/>
      <c r="J187" s="20"/>
      <c r="K187" s="20"/>
      <c r="L187" s="20"/>
      <c r="M187" s="20"/>
      <c r="N187" s="20"/>
      <c r="O187" s="20"/>
      <c r="P187" s="53"/>
      <c r="Q187" s="20"/>
      <c r="R187" s="20"/>
      <c r="S187" s="21"/>
      <c r="T187" s="21"/>
      <c r="U187" s="21"/>
      <c r="V187" s="20"/>
      <c r="W187" s="20"/>
      <c r="X187" s="20"/>
      <c r="Y187" s="20"/>
      <c r="Z187" s="20"/>
      <c r="AA187" s="20"/>
      <c r="AB187" s="20"/>
      <c r="AC187" s="20"/>
      <c r="AD187" s="10"/>
      <c r="AE187" s="20"/>
      <c r="AF187" s="1"/>
      <c r="AG187" s="1"/>
      <c r="AH187" s="1"/>
      <c r="AI187" s="1"/>
      <c r="AJ187" s="1"/>
      <c r="AK187" s="1"/>
      <c r="AL187" s="1"/>
      <c r="AM187" s="1"/>
    </row>
    <row r="188" spans="1:39" ht="12.75">
      <c r="A188" s="5"/>
      <c r="B188" s="95"/>
      <c r="C188" s="20"/>
      <c r="D188" s="10"/>
      <c r="E188" s="21"/>
      <c r="F188" s="21"/>
      <c r="G188" s="20"/>
      <c r="H188" s="20"/>
      <c r="I188" s="20"/>
      <c r="J188" s="20"/>
      <c r="K188" s="20"/>
      <c r="L188" s="20"/>
      <c r="M188" s="20"/>
      <c r="N188" s="20"/>
      <c r="O188" s="20"/>
      <c r="P188" s="53"/>
      <c r="Q188" s="20"/>
      <c r="R188" s="20"/>
      <c r="S188" s="21"/>
      <c r="T188" s="21"/>
      <c r="U188" s="21"/>
      <c r="V188" s="20"/>
      <c r="W188" s="20"/>
      <c r="X188" s="20"/>
      <c r="Y188" s="20"/>
      <c r="Z188" s="20"/>
      <c r="AA188" s="20"/>
      <c r="AB188" s="20"/>
      <c r="AC188" s="20"/>
      <c r="AD188" s="10"/>
      <c r="AE188" s="20"/>
      <c r="AF188" s="1"/>
      <c r="AG188" s="1"/>
      <c r="AH188" s="1"/>
      <c r="AI188" s="1"/>
      <c r="AJ188" s="1"/>
      <c r="AK188" s="1"/>
      <c r="AL188" s="1"/>
      <c r="AM188" s="1"/>
    </row>
    <row r="189" spans="1:39" ht="12.75">
      <c r="A189" s="5"/>
      <c r="B189" s="95"/>
      <c r="C189" s="20"/>
      <c r="D189" s="10"/>
      <c r="E189" s="21"/>
      <c r="F189" s="21"/>
      <c r="G189" s="20"/>
      <c r="H189" s="20"/>
      <c r="I189" s="20"/>
      <c r="J189" s="20"/>
      <c r="K189" s="20"/>
      <c r="L189" s="20"/>
      <c r="M189" s="20"/>
      <c r="N189" s="20"/>
      <c r="O189" s="20"/>
      <c r="P189" s="53"/>
      <c r="Q189" s="20"/>
      <c r="R189" s="20"/>
      <c r="S189" s="21"/>
      <c r="T189" s="21"/>
      <c r="U189" s="21"/>
      <c r="V189" s="20"/>
      <c r="W189" s="20"/>
      <c r="X189" s="20"/>
      <c r="Y189" s="20"/>
      <c r="Z189" s="20"/>
      <c r="AA189" s="20"/>
      <c r="AB189" s="20"/>
      <c r="AC189" s="20"/>
      <c r="AD189" s="10"/>
      <c r="AE189" s="20"/>
      <c r="AF189" s="1"/>
      <c r="AG189" s="1"/>
      <c r="AH189" s="1"/>
      <c r="AI189" s="1"/>
      <c r="AJ189" s="1"/>
      <c r="AK189" s="1"/>
      <c r="AL189" s="1"/>
      <c r="AM189" s="1"/>
    </row>
    <row r="190" spans="1:39" ht="12.75">
      <c r="A190" s="5"/>
      <c r="B190" s="95"/>
      <c r="C190" s="20"/>
      <c r="D190" s="10"/>
      <c r="E190" s="21"/>
      <c r="F190" s="21"/>
      <c r="G190" s="20"/>
      <c r="H190" s="20"/>
      <c r="I190" s="20"/>
      <c r="J190" s="20"/>
      <c r="K190" s="20"/>
      <c r="L190" s="20"/>
      <c r="M190" s="20"/>
      <c r="N190" s="20"/>
      <c r="O190" s="20"/>
      <c r="P190" s="53"/>
      <c r="Q190" s="20"/>
      <c r="R190" s="20"/>
      <c r="S190" s="21"/>
      <c r="T190" s="21"/>
      <c r="U190" s="21"/>
      <c r="V190" s="20"/>
      <c r="W190" s="20"/>
      <c r="X190" s="20"/>
      <c r="Y190" s="20"/>
      <c r="Z190" s="20"/>
      <c r="AA190" s="20"/>
      <c r="AB190" s="20"/>
      <c r="AC190" s="20"/>
      <c r="AD190" s="10"/>
      <c r="AE190" s="20"/>
      <c r="AF190" s="1"/>
      <c r="AG190" s="1"/>
      <c r="AH190" s="1"/>
      <c r="AI190" s="1"/>
      <c r="AJ190" s="1"/>
      <c r="AK190" s="1"/>
      <c r="AL190" s="1"/>
      <c r="AM190" s="1"/>
    </row>
    <row r="191" spans="1:39" ht="12.75">
      <c r="A191" s="5"/>
      <c r="B191" s="95"/>
      <c r="C191" s="20"/>
      <c r="D191" s="10"/>
      <c r="E191" s="21"/>
      <c r="F191" s="21"/>
      <c r="G191" s="20"/>
      <c r="H191" s="20"/>
      <c r="I191" s="20"/>
      <c r="J191" s="20"/>
      <c r="K191" s="20"/>
      <c r="L191" s="20"/>
      <c r="M191" s="20"/>
      <c r="N191" s="20"/>
      <c r="O191" s="20"/>
      <c r="P191" s="53"/>
      <c r="Q191" s="20"/>
      <c r="R191" s="20"/>
      <c r="S191" s="21"/>
      <c r="T191" s="21"/>
      <c r="U191" s="21"/>
      <c r="V191" s="20"/>
      <c r="W191" s="20"/>
      <c r="X191" s="20"/>
      <c r="Y191" s="20"/>
      <c r="Z191" s="20"/>
      <c r="AA191" s="20"/>
      <c r="AB191" s="20"/>
      <c r="AC191" s="20"/>
      <c r="AD191" s="10"/>
      <c r="AE191" s="20"/>
      <c r="AF191" s="1"/>
      <c r="AG191" s="1"/>
      <c r="AH191" s="1"/>
      <c r="AI191" s="1"/>
      <c r="AJ191" s="1"/>
      <c r="AK191" s="1"/>
      <c r="AL191" s="1"/>
      <c r="AM191" s="1"/>
    </row>
    <row r="192" spans="1:39" ht="12.75">
      <c r="A192" s="5"/>
      <c r="B192" s="95"/>
      <c r="C192" s="20"/>
      <c r="D192" s="10"/>
      <c r="E192" s="21"/>
      <c r="F192" s="21"/>
      <c r="G192" s="20"/>
      <c r="H192" s="20"/>
      <c r="I192" s="20"/>
      <c r="J192" s="20"/>
      <c r="K192" s="20"/>
      <c r="L192" s="20"/>
      <c r="M192" s="20"/>
      <c r="N192" s="20"/>
      <c r="O192" s="20"/>
      <c r="P192" s="53"/>
      <c r="Q192" s="20"/>
      <c r="R192" s="20"/>
      <c r="S192" s="21"/>
      <c r="T192" s="21"/>
      <c r="U192" s="21"/>
      <c r="V192" s="20"/>
      <c r="W192" s="20"/>
      <c r="X192" s="20"/>
      <c r="Y192" s="20"/>
      <c r="Z192" s="20"/>
      <c r="AA192" s="20"/>
      <c r="AB192" s="20"/>
      <c r="AC192" s="20"/>
      <c r="AD192" s="10"/>
      <c r="AE192" s="20"/>
      <c r="AF192" s="1"/>
      <c r="AG192" s="1"/>
      <c r="AH192" s="1"/>
      <c r="AI192" s="1"/>
      <c r="AJ192" s="1"/>
      <c r="AK192" s="1"/>
      <c r="AL192" s="1"/>
      <c r="AM192" s="1"/>
    </row>
    <row r="193" spans="1:39" ht="12.75">
      <c r="A193" s="5"/>
      <c r="B193" s="95"/>
      <c r="C193" s="20"/>
      <c r="D193" s="10"/>
      <c r="E193" s="21"/>
      <c r="F193" s="21"/>
      <c r="G193" s="20"/>
      <c r="H193" s="20"/>
      <c r="I193" s="20"/>
      <c r="J193" s="20"/>
      <c r="K193" s="20"/>
      <c r="L193" s="20"/>
      <c r="M193" s="20"/>
      <c r="N193" s="20"/>
      <c r="O193" s="20"/>
      <c r="P193" s="53"/>
      <c r="Q193" s="20"/>
      <c r="R193" s="20"/>
      <c r="S193" s="21"/>
      <c r="T193" s="21"/>
      <c r="U193" s="21"/>
      <c r="V193" s="20"/>
      <c r="W193" s="20"/>
      <c r="X193" s="20"/>
      <c r="Y193" s="20"/>
      <c r="Z193" s="20"/>
      <c r="AA193" s="20"/>
      <c r="AB193" s="20"/>
      <c r="AC193" s="20"/>
      <c r="AD193" s="10"/>
      <c r="AE193" s="20"/>
      <c r="AF193" s="1"/>
      <c r="AG193" s="1"/>
      <c r="AH193" s="1"/>
      <c r="AI193" s="1"/>
      <c r="AJ193" s="1"/>
      <c r="AK193" s="1"/>
      <c r="AL193" s="1"/>
      <c r="AM193" s="1"/>
    </row>
    <row r="194" spans="1:39" ht="12.75">
      <c r="A194" s="5"/>
      <c r="B194" s="95"/>
      <c r="C194" s="20"/>
      <c r="D194" s="10"/>
      <c r="E194" s="21"/>
      <c r="F194" s="21"/>
      <c r="G194" s="20"/>
      <c r="H194" s="20"/>
      <c r="I194" s="20"/>
      <c r="J194" s="20"/>
      <c r="K194" s="20"/>
      <c r="L194" s="20"/>
      <c r="M194" s="20"/>
      <c r="N194" s="20"/>
      <c r="O194" s="20"/>
      <c r="P194" s="53"/>
      <c r="Q194" s="20"/>
      <c r="R194" s="20"/>
      <c r="S194" s="21"/>
      <c r="T194" s="21"/>
      <c r="U194" s="21"/>
      <c r="V194" s="20"/>
      <c r="W194" s="20"/>
      <c r="X194" s="20"/>
      <c r="Y194" s="20"/>
      <c r="Z194" s="20"/>
      <c r="AA194" s="20"/>
      <c r="AB194" s="20"/>
      <c r="AC194" s="20"/>
      <c r="AD194" s="10"/>
      <c r="AE194" s="20"/>
      <c r="AF194" s="1"/>
      <c r="AG194" s="1"/>
      <c r="AH194" s="1"/>
      <c r="AI194" s="1"/>
      <c r="AJ194" s="1"/>
      <c r="AK194" s="1"/>
      <c r="AL194" s="1"/>
      <c r="AM194" s="1"/>
    </row>
    <row r="195" spans="1:39" ht="12.75">
      <c r="A195" s="128"/>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c r="AD195" s="10"/>
      <c r="AE195" s="20"/>
      <c r="AF195" s="1"/>
      <c r="AG195" s="1"/>
      <c r="AH195" s="1"/>
      <c r="AI195" s="1"/>
      <c r="AJ195" s="1"/>
      <c r="AK195" s="1"/>
      <c r="AL195" s="1"/>
      <c r="AM195" s="1"/>
    </row>
    <row r="196" spans="1:39" ht="12.75">
      <c r="A196" s="5"/>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10"/>
      <c r="AE196" s="20"/>
      <c r="AF196" s="1"/>
      <c r="AG196" s="1"/>
      <c r="AH196" s="1"/>
      <c r="AI196" s="1"/>
      <c r="AJ196" s="1"/>
      <c r="AK196" s="1"/>
      <c r="AL196" s="1"/>
      <c r="AM196" s="1"/>
    </row>
    <row r="197" spans="1:39" ht="12.75">
      <c r="A197" s="10"/>
      <c r="B197" s="95"/>
      <c r="C197" s="20"/>
      <c r="D197" s="10"/>
      <c r="E197" s="21"/>
      <c r="F197" s="21"/>
      <c r="G197" s="20"/>
      <c r="H197" s="20"/>
      <c r="I197" s="20"/>
      <c r="J197" s="20"/>
      <c r="K197" s="20"/>
      <c r="L197" s="20"/>
      <c r="M197" s="20"/>
      <c r="N197" s="20"/>
      <c r="O197" s="20"/>
      <c r="P197" s="53"/>
      <c r="Q197" s="20"/>
      <c r="R197" s="20"/>
      <c r="S197" s="21"/>
      <c r="T197" s="21"/>
      <c r="U197" s="21"/>
      <c r="V197" s="20"/>
      <c r="W197" s="20"/>
      <c r="X197" s="20"/>
      <c r="Y197" s="20"/>
      <c r="Z197" s="20"/>
      <c r="AA197" s="20"/>
      <c r="AB197" s="20"/>
      <c r="AC197" s="20"/>
      <c r="AD197" s="10"/>
      <c r="AE197" s="20"/>
      <c r="AF197" s="1"/>
      <c r="AG197" s="1"/>
      <c r="AH197" s="1"/>
      <c r="AI197" s="1"/>
      <c r="AJ197" s="1"/>
      <c r="AK197" s="1"/>
      <c r="AL197" s="1"/>
      <c r="AM197" s="1"/>
    </row>
    <row r="198" spans="1:39" ht="12.75">
      <c r="A198" s="10"/>
      <c r="B198" s="95"/>
      <c r="C198" s="20"/>
      <c r="D198" s="10"/>
      <c r="E198" s="21"/>
      <c r="F198" s="21"/>
      <c r="G198" s="20"/>
      <c r="H198" s="20"/>
      <c r="I198" s="20"/>
      <c r="J198" s="20"/>
      <c r="K198" s="20"/>
      <c r="L198" s="20"/>
      <c r="M198" s="20"/>
      <c r="N198" s="20"/>
      <c r="O198" s="20"/>
      <c r="P198" s="20"/>
      <c r="Q198" s="21"/>
      <c r="R198" s="21"/>
      <c r="S198" s="21"/>
      <c r="T198" s="21"/>
      <c r="U198" s="21"/>
      <c r="V198" s="20"/>
      <c r="W198" s="20"/>
      <c r="X198" s="20"/>
      <c r="Y198" s="20"/>
      <c r="Z198" s="20"/>
      <c r="AA198" s="20"/>
      <c r="AB198" s="20"/>
      <c r="AC198" s="20"/>
      <c r="AD198" s="10"/>
      <c r="AE198" s="21"/>
      <c r="AF198" s="1"/>
      <c r="AG198" s="1"/>
      <c r="AH198" s="1"/>
      <c r="AI198" s="1"/>
      <c r="AJ198" s="1"/>
      <c r="AK198" s="1"/>
      <c r="AL198" s="1"/>
      <c r="AM198" s="1"/>
    </row>
    <row r="199" spans="1:39" ht="12.75">
      <c r="A199" s="10"/>
      <c r="B199" s="95"/>
      <c r="C199" s="20"/>
      <c r="D199" s="10"/>
      <c r="E199" s="21"/>
      <c r="F199" s="21"/>
      <c r="G199" s="20"/>
      <c r="H199" s="20"/>
      <c r="I199" s="20"/>
      <c r="J199" s="20"/>
      <c r="K199" s="20"/>
      <c r="L199" s="20"/>
      <c r="M199" s="20"/>
      <c r="N199" s="20"/>
      <c r="O199" s="20"/>
      <c r="P199" s="20"/>
      <c r="Q199" s="21"/>
      <c r="R199" s="21"/>
      <c r="S199" s="21"/>
      <c r="T199" s="21"/>
      <c r="U199" s="21"/>
      <c r="V199" s="20"/>
      <c r="W199" s="20"/>
      <c r="X199" s="20"/>
      <c r="Y199" s="20"/>
      <c r="Z199" s="20"/>
      <c r="AA199" s="20"/>
      <c r="AB199" s="20"/>
      <c r="AC199" s="20"/>
      <c r="AD199" s="10"/>
      <c r="AE199" s="21"/>
      <c r="AF199" s="1"/>
      <c r="AG199" s="1"/>
      <c r="AH199" s="1"/>
      <c r="AI199" s="1"/>
      <c r="AJ199" s="1"/>
      <c r="AK199" s="1"/>
      <c r="AL199" s="1"/>
      <c r="AM199" s="1"/>
    </row>
    <row r="200" spans="1:39" ht="12.75">
      <c r="A200" s="10"/>
      <c r="B200" s="95"/>
      <c r="C200" s="20"/>
      <c r="D200" s="10"/>
      <c r="E200" s="21"/>
      <c r="F200" s="21"/>
      <c r="G200" s="20"/>
      <c r="H200" s="20"/>
      <c r="I200" s="20"/>
      <c r="J200" s="20"/>
      <c r="K200" s="20"/>
      <c r="L200" s="20"/>
      <c r="M200" s="20"/>
      <c r="N200" s="20"/>
      <c r="O200" s="20"/>
      <c r="P200" s="20"/>
      <c r="Q200" s="21"/>
      <c r="R200" s="21"/>
      <c r="S200" s="21"/>
      <c r="T200" s="21"/>
      <c r="U200" s="21"/>
      <c r="V200" s="20"/>
      <c r="W200" s="20"/>
      <c r="X200" s="20"/>
      <c r="Y200" s="20"/>
      <c r="Z200" s="20"/>
      <c r="AA200" s="20"/>
      <c r="AB200" s="20"/>
      <c r="AC200" s="20"/>
      <c r="AD200" s="10"/>
      <c r="AE200" s="20"/>
      <c r="AF200" s="1"/>
      <c r="AG200" s="1"/>
      <c r="AH200" s="1"/>
      <c r="AI200" s="1"/>
      <c r="AJ200" s="1"/>
      <c r="AK200" s="1"/>
      <c r="AL200" s="1"/>
      <c r="AM200" s="1"/>
    </row>
    <row r="201" spans="1:39" ht="12.75">
      <c r="A201" s="10"/>
      <c r="B201" s="95"/>
      <c r="C201" s="20"/>
      <c r="D201" s="10"/>
      <c r="E201" s="21"/>
      <c r="F201" s="21"/>
      <c r="G201" s="20"/>
      <c r="H201" s="20"/>
      <c r="I201" s="20"/>
      <c r="J201" s="20"/>
      <c r="K201" s="20"/>
      <c r="L201" s="20"/>
      <c r="M201" s="20"/>
      <c r="N201" s="20"/>
      <c r="O201" s="20"/>
      <c r="P201" s="20"/>
      <c r="Q201" s="21"/>
      <c r="R201" s="21"/>
      <c r="S201" s="21"/>
      <c r="T201" s="21"/>
      <c r="U201" s="21"/>
      <c r="V201" s="20"/>
      <c r="W201" s="20"/>
      <c r="X201" s="20"/>
      <c r="Y201" s="20"/>
      <c r="Z201" s="20"/>
      <c r="AA201" s="20"/>
      <c r="AB201" s="20"/>
      <c r="AC201" s="20"/>
      <c r="AD201" s="10"/>
      <c r="AE201" s="20"/>
      <c r="AF201" s="1"/>
      <c r="AG201" s="1"/>
      <c r="AH201" s="1"/>
      <c r="AI201" s="1"/>
      <c r="AJ201" s="1"/>
      <c r="AK201" s="1"/>
      <c r="AL201" s="1"/>
      <c r="AM201" s="1"/>
    </row>
    <row r="202" spans="1:39" ht="12.75">
      <c r="A202" s="10"/>
      <c r="B202" s="95"/>
      <c r="C202" s="20"/>
      <c r="D202" s="10"/>
      <c r="E202" s="21"/>
      <c r="F202" s="21"/>
      <c r="G202" s="20"/>
      <c r="H202" s="20"/>
      <c r="I202" s="20"/>
      <c r="J202" s="20"/>
      <c r="K202" s="20"/>
      <c r="L202" s="20"/>
      <c r="M202" s="20"/>
      <c r="N202" s="20"/>
      <c r="O202" s="20"/>
      <c r="P202" s="20"/>
      <c r="Q202" s="21"/>
      <c r="R202" s="21"/>
      <c r="S202" s="21"/>
      <c r="T202" s="21"/>
      <c r="U202" s="21"/>
      <c r="V202" s="20"/>
      <c r="W202" s="20"/>
      <c r="X202" s="20"/>
      <c r="Y202" s="20"/>
      <c r="Z202" s="20"/>
      <c r="AA202" s="20"/>
      <c r="AB202" s="20"/>
      <c r="AC202" s="20"/>
      <c r="AD202" s="10"/>
      <c r="AE202" s="20"/>
      <c r="AF202" s="1"/>
      <c r="AG202" s="1"/>
      <c r="AH202" s="1"/>
      <c r="AI202" s="1"/>
      <c r="AJ202" s="1"/>
      <c r="AK202" s="1"/>
      <c r="AL202" s="1"/>
      <c r="AM202" s="1"/>
    </row>
    <row r="203" spans="1:39" ht="12.75">
      <c r="A203" s="10"/>
      <c r="B203" s="95"/>
      <c r="C203" s="20"/>
      <c r="D203" s="10"/>
      <c r="E203" s="21"/>
      <c r="F203" s="21"/>
      <c r="G203" s="20"/>
      <c r="H203" s="20"/>
      <c r="I203" s="20"/>
      <c r="J203" s="20"/>
      <c r="K203" s="20"/>
      <c r="L203" s="20"/>
      <c r="M203" s="20"/>
      <c r="N203" s="20"/>
      <c r="O203" s="20"/>
      <c r="P203" s="20"/>
      <c r="Q203" s="21"/>
      <c r="R203" s="21"/>
      <c r="S203" s="21"/>
      <c r="T203" s="21"/>
      <c r="U203" s="21"/>
      <c r="V203" s="20"/>
      <c r="W203" s="20"/>
      <c r="X203" s="20"/>
      <c r="Y203" s="20"/>
      <c r="Z203" s="20"/>
      <c r="AA203" s="20"/>
      <c r="AB203" s="20"/>
      <c r="AC203" s="20"/>
      <c r="AD203" s="10"/>
      <c r="AE203" s="20"/>
      <c r="AF203" s="1"/>
      <c r="AG203" s="1"/>
      <c r="AH203" s="1"/>
      <c r="AI203" s="1"/>
      <c r="AJ203" s="1"/>
      <c r="AK203" s="1"/>
      <c r="AL203" s="1"/>
      <c r="AM203" s="1"/>
    </row>
    <row r="204" spans="1:39" ht="12.75">
      <c r="A204" s="10"/>
      <c r="B204" s="95"/>
      <c r="C204" s="20"/>
      <c r="D204" s="10"/>
      <c r="E204" s="21"/>
      <c r="F204" s="21"/>
      <c r="G204" s="20"/>
      <c r="H204" s="20"/>
      <c r="I204" s="20"/>
      <c r="J204" s="20"/>
      <c r="K204" s="20"/>
      <c r="L204" s="20"/>
      <c r="M204" s="20"/>
      <c r="N204" s="20"/>
      <c r="O204" s="20"/>
      <c r="P204" s="20"/>
      <c r="Q204" s="21"/>
      <c r="R204" s="21"/>
      <c r="S204" s="21"/>
      <c r="T204" s="21"/>
      <c r="U204" s="21"/>
      <c r="V204" s="20"/>
      <c r="W204" s="20"/>
      <c r="X204" s="20"/>
      <c r="Y204" s="20"/>
      <c r="Z204" s="20"/>
      <c r="AA204" s="20"/>
      <c r="AB204" s="20"/>
      <c r="AC204" s="20"/>
      <c r="AD204" s="10"/>
      <c r="AE204" s="20"/>
      <c r="AF204" s="1"/>
      <c r="AG204" s="1"/>
      <c r="AH204" s="1"/>
      <c r="AI204" s="1"/>
      <c r="AJ204" s="1"/>
      <c r="AK204" s="1"/>
      <c r="AL204" s="1"/>
      <c r="AM204" s="1"/>
    </row>
    <row r="205" spans="1:39" ht="12.75">
      <c r="A205" s="10"/>
      <c r="B205" s="95"/>
      <c r="C205" s="20"/>
      <c r="D205" s="10"/>
      <c r="E205" s="21"/>
      <c r="F205" s="21"/>
      <c r="G205" s="20"/>
      <c r="H205" s="20"/>
      <c r="I205" s="20"/>
      <c r="J205" s="20"/>
      <c r="K205" s="20"/>
      <c r="L205" s="20"/>
      <c r="M205" s="20"/>
      <c r="N205" s="20"/>
      <c r="O205" s="20"/>
      <c r="P205" s="20"/>
      <c r="Q205" s="21"/>
      <c r="R205" s="21"/>
      <c r="S205" s="21"/>
      <c r="T205" s="21"/>
      <c r="U205" s="21"/>
      <c r="V205" s="20"/>
      <c r="W205" s="20"/>
      <c r="X205" s="20"/>
      <c r="Y205" s="20"/>
      <c r="Z205" s="20"/>
      <c r="AA205" s="20"/>
      <c r="AB205" s="20"/>
      <c r="AC205" s="20"/>
      <c r="AD205" s="10"/>
      <c r="AE205" s="20"/>
      <c r="AF205" s="1"/>
      <c r="AG205" s="1"/>
      <c r="AH205" s="1"/>
      <c r="AI205" s="1"/>
      <c r="AJ205" s="1"/>
      <c r="AK205" s="1"/>
      <c r="AL205" s="1"/>
      <c r="AM205" s="1"/>
    </row>
    <row r="206" spans="1:39" ht="12.75">
      <c r="A206" s="10"/>
      <c r="B206" s="95"/>
      <c r="C206" s="20"/>
      <c r="D206" s="10"/>
      <c r="E206" s="21"/>
      <c r="F206" s="21"/>
      <c r="G206" s="20"/>
      <c r="H206" s="20"/>
      <c r="I206" s="20"/>
      <c r="J206" s="20"/>
      <c r="K206" s="20"/>
      <c r="L206" s="20"/>
      <c r="M206" s="20"/>
      <c r="N206" s="20"/>
      <c r="O206" s="20"/>
      <c r="P206" s="20"/>
      <c r="Q206" s="21"/>
      <c r="R206" s="21"/>
      <c r="S206" s="21"/>
      <c r="T206" s="21"/>
      <c r="U206" s="21"/>
      <c r="V206" s="20"/>
      <c r="W206" s="20"/>
      <c r="X206" s="20"/>
      <c r="Y206" s="20"/>
      <c r="Z206" s="20"/>
      <c r="AA206" s="20"/>
      <c r="AB206" s="20"/>
      <c r="AC206" s="20"/>
      <c r="AD206" s="10"/>
      <c r="AE206" s="20"/>
      <c r="AF206" s="1"/>
      <c r="AG206" s="1"/>
      <c r="AH206" s="1"/>
      <c r="AI206" s="1"/>
      <c r="AJ206" s="1"/>
      <c r="AK206" s="1"/>
      <c r="AL206" s="1"/>
      <c r="AM206" s="1"/>
    </row>
    <row r="207" spans="1:39" ht="12.75">
      <c r="A207" s="5"/>
      <c r="B207" s="95"/>
      <c r="C207" s="20"/>
      <c r="D207" s="10"/>
      <c r="E207" s="21"/>
      <c r="F207" s="21"/>
      <c r="G207" s="20"/>
      <c r="H207" s="20"/>
      <c r="I207" s="20"/>
      <c r="J207" s="20"/>
      <c r="K207" s="20"/>
      <c r="L207" s="20"/>
      <c r="M207" s="20"/>
      <c r="N207" s="20"/>
      <c r="O207" s="20"/>
      <c r="P207" s="20"/>
      <c r="Q207" s="21"/>
      <c r="R207" s="21"/>
      <c r="S207" s="21"/>
      <c r="T207" s="21"/>
      <c r="U207" s="21"/>
      <c r="V207" s="20"/>
      <c r="W207" s="20"/>
      <c r="X207" s="20"/>
      <c r="Y207" s="20"/>
      <c r="Z207" s="20"/>
      <c r="AA207" s="20"/>
      <c r="AB207" s="20"/>
      <c r="AC207" s="20"/>
      <c r="AD207" s="10"/>
      <c r="AE207" s="20"/>
      <c r="AF207" s="1"/>
      <c r="AG207" s="1"/>
      <c r="AH207" s="1"/>
      <c r="AI207" s="1"/>
      <c r="AJ207" s="1"/>
      <c r="AK207" s="1"/>
      <c r="AL207" s="1"/>
      <c r="AM207" s="1"/>
    </row>
    <row r="208" spans="1:39" ht="12.75">
      <c r="A208" s="10"/>
      <c r="B208" s="95"/>
      <c r="C208" s="20"/>
      <c r="D208" s="10"/>
      <c r="E208" s="21"/>
      <c r="F208" s="21"/>
      <c r="G208" s="20"/>
      <c r="H208" s="20"/>
      <c r="I208" s="20"/>
      <c r="J208" s="20"/>
      <c r="K208" s="20"/>
      <c r="L208" s="20"/>
      <c r="M208" s="20"/>
      <c r="N208" s="20"/>
      <c r="O208" s="20"/>
      <c r="P208" s="20"/>
      <c r="Q208" s="21"/>
      <c r="R208" s="21"/>
      <c r="S208" s="21"/>
      <c r="T208" s="21"/>
      <c r="U208" s="21"/>
      <c r="V208" s="20"/>
      <c r="W208" s="20"/>
      <c r="X208" s="20"/>
      <c r="Y208" s="20"/>
      <c r="Z208" s="20"/>
      <c r="AA208" s="20"/>
      <c r="AB208" s="20"/>
      <c r="AC208" s="20"/>
      <c r="AD208" s="10"/>
      <c r="AE208" s="20"/>
      <c r="AF208" s="1"/>
      <c r="AG208" s="1"/>
      <c r="AH208" s="1"/>
      <c r="AI208" s="1"/>
      <c r="AJ208" s="1"/>
      <c r="AK208" s="1"/>
      <c r="AL208" s="1"/>
      <c r="AM208" s="1"/>
    </row>
    <row r="209" spans="1:39" ht="12.75">
      <c r="A209" s="10"/>
      <c r="B209" s="95"/>
      <c r="C209" s="20"/>
      <c r="D209" s="10"/>
      <c r="E209" s="21"/>
      <c r="F209" s="21"/>
      <c r="G209" s="20"/>
      <c r="H209" s="20"/>
      <c r="I209" s="20"/>
      <c r="J209" s="20"/>
      <c r="K209" s="20"/>
      <c r="L209" s="20"/>
      <c r="M209" s="20"/>
      <c r="N209" s="20"/>
      <c r="O209" s="20"/>
      <c r="P209" s="20"/>
      <c r="Q209" s="21"/>
      <c r="R209" s="21"/>
      <c r="S209" s="21"/>
      <c r="T209" s="21"/>
      <c r="U209" s="21"/>
      <c r="V209" s="20"/>
      <c r="W209" s="20"/>
      <c r="X209" s="20"/>
      <c r="Y209" s="20"/>
      <c r="Z209" s="20"/>
      <c r="AA209" s="20"/>
      <c r="AB209" s="20"/>
      <c r="AC209" s="20"/>
      <c r="AD209" s="10"/>
      <c r="AE209" s="20"/>
      <c r="AF209" s="1"/>
      <c r="AG209" s="1"/>
      <c r="AH209" s="1"/>
      <c r="AI209" s="1"/>
      <c r="AJ209" s="1"/>
      <c r="AK209" s="1"/>
      <c r="AL209" s="1"/>
      <c r="AM209" s="1"/>
    </row>
    <row r="210" spans="1:39" ht="12.75">
      <c r="A210" s="10"/>
      <c r="B210" s="95"/>
      <c r="C210" s="20"/>
      <c r="D210" s="10"/>
      <c r="E210" s="21"/>
      <c r="F210" s="21"/>
      <c r="G210" s="20"/>
      <c r="H210" s="20"/>
      <c r="I210" s="20"/>
      <c r="J210" s="20"/>
      <c r="K210" s="20"/>
      <c r="L210" s="20"/>
      <c r="M210" s="20"/>
      <c r="N210" s="20"/>
      <c r="O210" s="20"/>
      <c r="P210" s="20"/>
      <c r="Q210" s="21"/>
      <c r="R210" s="21"/>
      <c r="S210" s="21"/>
      <c r="T210" s="21"/>
      <c r="U210" s="21"/>
      <c r="V210" s="20"/>
      <c r="W210" s="20"/>
      <c r="X210" s="20"/>
      <c r="Y210" s="20"/>
      <c r="Z210" s="20"/>
      <c r="AA210" s="20"/>
      <c r="AB210" s="20"/>
      <c r="AC210" s="20"/>
      <c r="AD210" s="10"/>
      <c r="AE210" s="20"/>
      <c r="AF210" s="1"/>
      <c r="AG210" s="1"/>
      <c r="AH210" s="1"/>
      <c r="AI210" s="1"/>
      <c r="AJ210" s="1"/>
      <c r="AK210" s="1"/>
      <c r="AL210" s="1"/>
      <c r="AM210" s="1"/>
    </row>
    <row r="211" spans="1:39" ht="12.75">
      <c r="A211" s="10"/>
      <c r="B211" s="95"/>
      <c r="C211" s="20"/>
      <c r="D211" s="10"/>
      <c r="E211" s="21"/>
      <c r="F211" s="21"/>
      <c r="G211" s="20"/>
      <c r="H211" s="20"/>
      <c r="I211" s="20"/>
      <c r="J211" s="20"/>
      <c r="K211" s="20"/>
      <c r="L211" s="20"/>
      <c r="M211" s="20"/>
      <c r="N211" s="20"/>
      <c r="O211" s="20"/>
      <c r="P211" s="20"/>
      <c r="Q211" s="21"/>
      <c r="R211" s="21"/>
      <c r="S211" s="21"/>
      <c r="T211" s="21"/>
      <c r="U211" s="21"/>
      <c r="V211" s="20"/>
      <c r="W211" s="20"/>
      <c r="X211" s="20"/>
      <c r="Y211" s="20"/>
      <c r="Z211" s="20"/>
      <c r="AA211" s="20"/>
      <c r="AB211" s="20"/>
      <c r="AC211" s="20"/>
      <c r="AD211" s="10"/>
      <c r="AE211" s="20"/>
      <c r="AF211" s="1"/>
      <c r="AG211" s="1"/>
      <c r="AH211" s="1"/>
      <c r="AI211" s="1"/>
      <c r="AJ211" s="1"/>
      <c r="AK211" s="1"/>
      <c r="AL211" s="1"/>
      <c r="AM211" s="1"/>
    </row>
    <row r="212" spans="1:39" ht="12.75">
      <c r="A212" s="10"/>
      <c r="B212" s="95"/>
      <c r="C212" s="20"/>
      <c r="D212" s="10"/>
      <c r="E212" s="21"/>
      <c r="F212" s="21"/>
      <c r="G212" s="20"/>
      <c r="H212" s="20"/>
      <c r="I212" s="20"/>
      <c r="J212" s="20"/>
      <c r="K212" s="20"/>
      <c r="L212" s="20"/>
      <c r="M212" s="20"/>
      <c r="N212" s="20"/>
      <c r="O212" s="20"/>
      <c r="P212" s="20"/>
      <c r="Q212" s="21"/>
      <c r="R212" s="21"/>
      <c r="S212" s="21"/>
      <c r="T212" s="21"/>
      <c r="U212" s="21"/>
      <c r="V212" s="20"/>
      <c r="W212" s="20"/>
      <c r="X212" s="20"/>
      <c r="Y212" s="20"/>
      <c r="Z212" s="20"/>
      <c r="AA212" s="20"/>
      <c r="AB212" s="20"/>
      <c r="AC212" s="20"/>
      <c r="AD212" s="10"/>
      <c r="AE212" s="20"/>
      <c r="AF212" s="1"/>
      <c r="AG212" s="1"/>
      <c r="AH212" s="1"/>
      <c r="AI212" s="1"/>
      <c r="AJ212" s="1"/>
      <c r="AK212" s="1"/>
      <c r="AL212" s="1"/>
      <c r="AM212" s="1"/>
    </row>
    <row r="213" spans="1:39" ht="12.75">
      <c r="A213" s="10"/>
      <c r="B213" s="95"/>
      <c r="C213" s="20"/>
      <c r="D213" s="10"/>
      <c r="E213" s="21"/>
      <c r="F213" s="21"/>
      <c r="G213" s="20"/>
      <c r="H213" s="20"/>
      <c r="I213" s="20"/>
      <c r="J213" s="20"/>
      <c r="K213" s="20"/>
      <c r="L213" s="20"/>
      <c r="M213" s="20"/>
      <c r="N213" s="20"/>
      <c r="O213" s="20"/>
      <c r="P213" s="20"/>
      <c r="Q213" s="21"/>
      <c r="R213" s="21"/>
      <c r="S213" s="21"/>
      <c r="T213" s="21"/>
      <c r="U213" s="21"/>
      <c r="V213" s="20"/>
      <c r="W213" s="20"/>
      <c r="X213" s="20"/>
      <c r="Y213" s="20"/>
      <c r="Z213" s="20"/>
      <c r="AA213" s="20"/>
      <c r="AB213" s="20"/>
      <c r="AC213" s="20"/>
      <c r="AD213" s="10"/>
      <c r="AE213" s="20"/>
      <c r="AF213" s="1"/>
      <c r="AG213" s="1"/>
      <c r="AH213" s="1"/>
      <c r="AI213" s="1"/>
      <c r="AJ213" s="1"/>
      <c r="AK213" s="1"/>
      <c r="AL213" s="1"/>
      <c r="AM213" s="1"/>
    </row>
    <row r="214" spans="1:39" ht="12.75">
      <c r="A214" s="10"/>
      <c r="B214" s="95"/>
      <c r="C214" s="20"/>
      <c r="D214" s="10"/>
      <c r="E214" s="21"/>
      <c r="F214" s="21"/>
      <c r="G214" s="20"/>
      <c r="H214" s="20"/>
      <c r="I214" s="20"/>
      <c r="J214" s="20"/>
      <c r="K214" s="20"/>
      <c r="L214" s="20"/>
      <c r="M214" s="20"/>
      <c r="N214" s="20"/>
      <c r="O214" s="20"/>
      <c r="P214" s="20"/>
      <c r="Q214" s="21"/>
      <c r="R214" s="21"/>
      <c r="S214" s="21"/>
      <c r="T214" s="21"/>
      <c r="U214" s="21"/>
      <c r="V214" s="20"/>
      <c r="W214" s="20"/>
      <c r="X214" s="20"/>
      <c r="Y214" s="20"/>
      <c r="Z214" s="20"/>
      <c r="AA214" s="20"/>
      <c r="AB214" s="20"/>
      <c r="AC214" s="20"/>
      <c r="AD214" s="10"/>
      <c r="AE214" s="20"/>
      <c r="AF214" s="1"/>
      <c r="AG214" s="1"/>
      <c r="AH214" s="1"/>
      <c r="AI214" s="1"/>
      <c r="AJ214" s="1"/>
      <c r="AK214" s="1"/>
      <c r="AL214" s="1"/>
      <c r="AM214" s="1"/>
    </row>
    <row r="215" spans="1:39" ht="12.75">
      <c r="A215" s="10"/>
      <c r="B215" s="95"/>
      <c r="C215" s="20"/>
      <c r="D215" s="10"/>
      <c r="E215" s="21"/>
      <c r="F215" s="21"/>
      <c r="G215" s="20"/>
      <c r="H215" s="20"/>
      <c r="I215" s="20"/>
      <c r="J215" s="20"/>
      <c r="K215" s="20"/>
      <c r="L215" s="20"/>
      <c r="M215" s="20"/>
      <c r="N215" s="20"/>
      <c r="O215" s="20"/>
      <c r="P215" s="20"/>
      <c r="Q215" s="21"/>
      <c r="R215" s="21"/>
      <c r="S215" s="21"/>
      <c r="T215" s="21"/>
      <c r="U215" s="21"/>
      <c r="V215" s="20"/>
      <c r="W215" s="20"/>
      <c r="X215" s="20"/>
      <c r="Y215" s="20"/>
      <c r="Z215" s="20"/>
      <c r="AA215" s="20"/>
      <c r="AB215" s="20"/>
      <c r="AC215" s="20"/>
      <c r="AD215" s="10"/>
      <c r="AE215" s="20"/>
      <c r="AF215" s="1"/>
      <c r="AG215" s="1"/>
      <c r="AH215" s="1"/>
      <c r="AI215" s="1"/>
      <c r="AJ215" s="1"/>
      <c r="AK215" s="1"/>
      <c r="AL215" s="1"/>
      <c r="AM215" s="1"/>
    </row>
    <row r="216" spans="1:39" ht="12.75">
      <c r="A216" s="10"/>
      <c r="B216" s="95"/>
      <c r="C216" s="20"/>
      <c r="D216" s="10"/>
      <c r="E216" s="21"/>
      <c r="F216" s="21"/>
      <c r="G216" s="20"/>
      <c r="H216" s="20"/>
      <c r="I216" s="20"/>
      <c r="J216" s="20"/>
      <c r="K216" s="20"/>
      <c r="L216" s="20"/>
      <c r="M216" s="20"/>
      <c r="N216" s="20"/>
      <c r="O216" s="20"/>
      <c r="P216" s="20"/>
      <c r="Q216" s="21"/>
      <c r="R216" s="21"/>
      <c r="S216" s="21"/>
      <c r="T216" s="21"/>
      <c r="U216" s="21"/>
      <c r="V216" s="20"/>
      <c r="W216" s="20"/>
      <c r="X216" s="20"/>
      <c r="Y216" s="20"/>
      <c r="Z216" s="20"/>
      <c r="AA216" s="20"/>
      <c r="AB216" s="20"/>
      <c r="AC216" s="20"/>
      <c r="AD216" s="10"/>
      <c r="AE216" s="20"/>
      <c r="AF216" s="1"/>
      <c r="AG216" s="1"/>
      <c r="AH216" s="1"/>
      <c r="AI216" s="1"/>
      <c r="AJ216" s="1"/>
      <c r="AK216" s="1"/>
      <c r="AL216" s="1"/>
      <c r="AM216" s="1"/>
    </row>
    <row r="217" spans="1:39" ht="12.75">
      <c r="A217" s="10"/>
      <c r="B217" s="95"/>
      <c r="C217" s="20"/>
      <c r="D217" s="10"/>
      <c r="E217" s="21"/>
      <c r="F217" s="21"/>
      <c r="G217" s="20"/>
      <c r="H217" s="20"/>
      <c r="I217" s="20"/>
      <c r="J217" s="20"/>
      <c r="K217" s="20"/>
      <c r="L217" s="20"/>
      <c r="M217" s="20"/>
      <c r="N217" s="20"/>
      <c r="O217" s="20"/>
      <c r="P217" s="20"/>
      <c r="Q217" s="21"/>
      <c r="R217" s="21"/>
      <c r="S217" s="21"/>
      <c r="T217" s="21"/>
      <c r="U217" s="21"/>
      <c r="V217" s="20"/>
      <c r="W217" s="20"/>
      <c r="X217" s="20"/>
      <c r="Y217" s="20"/>
      <c r="Z217" s="20"/>
      <c r="AA217" s="20"/>
      <c r="AB217" s="20"/>
      <c r="AC217" s="20"/>
      <c r="AD217" s="10"/>
      <c r="AE217" s="20"/>
      <c r="AF217" s="1"/>
      <c r="AG217" s="1"/>
      <c r="AH217" s="1"/>
      <c r="AI217" s="1"/>
      <c r="AJ217" s="1"/>
      <c r="AK217" s="1"/>
      <c r="AL217" s="1"/>
      <c r="AM217" s="1"/>
    </row>
    <row r="218" spans="1:39" ht="12.75">
      <c r="A218" s="10"/>
      <c r="B218" s="95"/>
      <c r="C218" s="20"/>
      <c r="D218" s="10"/>
      <c r="E218" s="21"/>
      <c r="F218" s="21"/>
      <c r="G218" s="20"/>
      <c r="H218" s="20"/>
      <c r="I218" s="20"/>
      <c r="J218" s="20"/>
      <c r="K218" s="20"/>
      <c r="L218" s="20"/>
      <c r="M218" s="20"/>
      <c r="N218" s="20"/>
      <c r="O218" s="20"/>
      <c r="P218" s="20"/>
      <c r="Q218" s="21"/>
      <c r="R218" s="21"/>
      <c r="S218" s="21"/>
      <c r="T218" s="21"/>
      <c r="U218" s="21"/>
      <c r="V218" s="20"/>
      <c r="W218" s="20"/>
      <c r="X218" s="20"/>
      <c r="Y218" s="20"/>
      <c r="Z218" s="20"/>
      <c r="AA218" s="20"/>
      <c r="AB218" s="20"/>
      <c r="AC218" s="20"/>
      <c r="AD218" s="10"/>
      <c r="AE218" s="20"/>
      <c r="AF218" s="1"/>
      <c r="AG218" s="1"/>
      <c r="AH218" s="1"/>
      <c r="AI218" s="1"/>
      <c r="AJ218" s="1"/>
      <c r="AK218" s="1"/>
      <c r="AL218" s="1"/>
      <c r="AM218" s="1"/>
    </row>
    <row r="219" spans="1:39" ht="12.75">
      <c r="A219" s="5"/>
      <c r="B219" s="95"/>
      <c r="C219" s="20"/>
      <c r="D219" s="10"/>
      <c r="E219" s="21"/>
      <c r="F219" s="21"/>
      <c r="G219" s="20"/>
      <c r="H219" s="20"/>
      <c r="I219" s="20"/>
      <c r="J219" s="20"/>
      <c r="K219" s="20"/>
      <c r="L219" s="20"/>
      <c r="M219" s="20"/>
      <c r="N219" s="20"/>
      <c r="O219" s="20"/>
      <c r="P219" s="20"/>
      <c r="Q219" s="21"/>
      <c r="R219" s="21"/>
      <c r="S219" s="21"/>
      <c r="T219" s="21"/>
      <c r="U219" s="21"/>
      <c r="V219" s="20"/>
      <c r="W219" s="20"/>
      <c r="X219" s="20"/>
      <c r="Y219" s="20"/>
      <c r="Z219" s="20"/>
      <c r="AA219" s="20"/>
      <c r="AB219" s="20"/>
      <c r="AC219" s="20"/>
      <c r="AD219" s="10"/>
      <c r="AE219" s="20"/>
      <c r="AF219" s="1"/>
      <c r="AG219" s="1"/>
      <c r="AH219" s="1"/>
      <c r="AI219" s="1"/>
      <c r="AJ219" s="1"/>
      <c r="AK219" s="1"/>
      <c r="AL219" s="1"/>
      <c r="AM219" s="1"/>
    </row>
    <row r="220" spans="1:39" ht="12.75">
      <c r="A220" s="10"/>
      <c r="B220" s="95"/>
      <c r="C220" s="20"/>
      <c r="D220" s="10"/>
      <c r="E220" s="21"/>
      <c r="F220" s="21"/>
      <c r="G220" s="20"/>
      <c r="H220" s="20"/>
      <c r="I220" s="20"/>
      <c r="J220" s="20"/>
      <c r="K220" s="20"/>
      <c r="L220" s="20"/>
      <c r="M220" s="20"/>
      <c r="N220" s="20"/>
      <c r="O220" s="20"/>
      <c r="P220" s="20"/>
      <c r="Q220" s="21"/>
      <c r="R220" s="21"/>
      <c r="S220" s="21"/>
      <c r="T220" s="21"/>
      <c r="U220" s="21"/>
      <c r="V220" s="20"/>
      <c r="W220" s="20"/>
      <c r="X220" s="20"/>
      <c r="Y220" s="20"/>
      <c r="Z220" s="20"/>
      <c r="AA220" s="20"/>
      <c r="AB220" s="20"/>
      <c r="AC220" s="20"/>
      <c r="AD220" s="10"/>
      <c r="AE220" s="20"/>
      <c r="AF220" s="1"/>
      <c r="AG220" s="1"/>
      <c r="AH220" s="1"/>
      <c r="AI220" s="1"/>
      <c r="AJ220" s="1"/>
      <c r="AK220" s="1"/>
      <c r="AL220" s="1"/>
      <c r="AM220" s="1"/>
    </row>
    <row r="221" spans="1:39" ht="12.75">
      <c r="A221" s="10"/>
      <c r="B221" s="95"/>
      <c r="C221" s="20"/>
      <c r="D221" s="10"/>
      <c r="E221" s="21"/>
      <c r="F221" s="21"/>
      <c r="G221" s="20"/>
      <c r="H221" s="20"/>
      <c r="I221" s="20"/>
      <c r="J221" s="20"/>
      <c r="K221" s="20"/>
      <c r="L221" s="20"/>
      <c r="M221" s="20"/>
      <c r="N221" s="20"/>
      <c r="O221" s="20"/>
      <c r="P221" s="20"/>
      <c r="Q221" s="21"/>
      <c r="R221" s="21"/>
      <c r="S221" s="21"/>
      <c r="T221" s="21"/>
      <c r="U221" s="21"/>
      <c r="V221" s="20"/>
      <c r="W221" s="20"/>
      <c r="X221" s="20"/>
      <c r="Y221" s="20"/>
      <c r="Z221" s="20"/>
      <c r="AA221" s="20"/>
      <c r="AB221" s="20"/>
      <c r="AC221" s="20"/>
      <c r="AD221" s="10"/>
      <c r="AE221" s="20"/>
      <c r="AF221" s="1"/>
      <c r="AG221" s="1"/>
      <c r="AH221" s="1"/>
      <c r="AI221" s="1"/>
      <c r="AJ221" s="1"/>
      <c r="AK221" s="1"/>
      <c r="AL221" s="1"/>
      <c r="AM221" s="1"/>
    </row>
    <row r="222" spans="1:39" ht="12.75">
      <c r="A222" s="5"/>
      <c r="B222" s="95"/>
      <c r="C222" s="20"/>
      <c r="D222" s="10"/>
      <c r="E222" s="21"/>
      <c r="F222" s="21"/>
      <c r="G222" s="20"/>
      <c r="H222" s="20"/>
      <c r="I222" s="20"/>
      <c r="J222" s="20"/>
      <c r="K222" s="20"/>
      <c r="L222" s="20"/>
      <c r="M222" s="20"/>
      <c r="N222" s="20"/>
      <c r="O222" s="20"/>
      <c r="P222" s="20"/>
      <c r="Q222" s="21"/>
      <c r="R222" s="21"/>
      <c r="S222" s="21"/>
      <c r="T222" s="21"/>
      <c r="U222" s="21"/>
      <c r="V222" s="20"/>
      <c r="W222" s="20"/>
      <c r="X222" s="20"/>
      <c r="Y222" s="20"/>
      <c r="Z222" s="20"/>
      <c r="AA222" s="20"/>
      <c r="AB222" s="20"/>
      <c r="AC222" s="20"/>
      <c r="AD222" s="10"/>
      <c r="AE222" s="20"/>
      <c r="AF222" s="1"/>
      <c r="AG222" s="1"/>
      <c r="AH222" s="1"/>
      <c r="AI222" s="1"/>
      <c r="AJ222" s="1"/>
      <c r="AK222" s="1"/>
      <c r="AL222" s="1"/>
      <c r="AM222" s="1"/>
    </row>
    <row r="223" spans="1:39" ht="12.75">
      <c r="A223" s="10"/>
      <c r="B223" s="82"/>
      <c r="C223" s="20"/>
      <c r="D223" s="10"/>
      <c r="E223" s="21"/>
      <c r="F223" s="21"/>
      <c r="G223" s="20"/>
      <c r="H223" s="20"/>
      <c r="I223" s="20"/>
      <c r="J223" s="20"/>
      <c r="K223" s="20"/>
      <c r="L223" s="20"/>
      <c r="M223" s="20"/>
      <c r="N223" s="20"/>
      <c r="O223" s="20"/>
      <c r="P223" s="20"/>
      <c r="Q223" s="21"/>
      <c r="R223" s="21"/>
      <c r="S223" s="21"/>
      <c r="T223" s="21"/>
      <c r="U223" s="21"/>
      <c r="V223" s="20"/>
      <c r="W223" s="20"/>
      <c r="X223" s="20"/>
      <c r="Y223" s="20"/>
      <c r="Z223" s="20"/>
      <c r="AA223" s="20"/>
      <c r="AB223" s="20"/>
      <c r="AC223" s="20"/>
      <c r="AD223" s="10"/>
      <c r="AE223" s="20"/>
      <c r="AF223" s="1"/>
      <c r="AG223" s="1"/>
      <c r="AH223" s="1"/>
      <c r="AI223" s="1"/>
      <c r="AJ223" s="1"/>
      <c r="AK223" s="1"/>
      <c r="AL223" s="1"/>
      <c r="AM223" s="1"/>
    </row>
    <row r="224" spans="1:39" ht="12.75">
      <c r="A224" s="10"/>
      <c r="B224" s="95"/>
      <c r="C224" s="20"/>
      <c r="D224" s="10"/>
      <c r="E224" s="21"/>
      <c r="F224" s="21"/>
      <c r="G224" s="20"/>
      <c r="H224" s="20"/>
      <c r="I224" s="20"/>
      <c r="J224" s="20"/>
      <c r="K224" s="20"/>
      <c r="L224" s="20"/>
      <c r="M224" s="20"/>
      <c r="N224" s="20"/>
      <c r="O224" s="20"/>
      <c r="P224" s="20"/>
      <c r="Q224" s="21"/>
      <c r="R224" s="21"/>
      <c r="S224" s="21"/>
      <c r="T224" s="21"/>
      <c r="U224" s="21"/>
      <c r="V224" s="20"/>
      <c r="W224" s="20"/>
      <c r="X224" s="20"/>
      <c r="Y224" s="20"/>
      <c r="Z224" s="20"/>
      <c r="AA224" s="20"/>
      <c r="AB224" s="20"/>
      <c r="AC224" s="20"/>
      <c r="AD224" s="10"/>
      <c r="AE224" s="20"/>
      <c r="AF224" s="1"/>
      <c r="AG224" s="1"/>
      <c r="AH224" s="1"/>
      <c r="AI224" s="1"/>
      <c r="AJ224" s="1"/>
      <c r="AK224" s="1"/>
      <c r="AL224" s="1"/>
      <c r="AM224" s="1"/>
    </row>
    <row r="225" spans="1:39" ht="12.75">
      <c r="A225" s="10"/>
      <c r="B225" s="95"/>
      <c r="C225" s="20"/>
      <c r="D225" s="10"/>
      <c r="E225" s="21"/>
      <c r="F225" s="21"/>
      <c r="G225" s="20"/>
      <c r="H225" s="20"/>
      <c r="I225" s="20"/>
      <c r="J225" s="20"/>
      <c r="K225" s="20"/>
      <c r="L225" s="20"/>
      <c r="M225" s="20"/>
      <c r="N225" s="20"/>
      <c r="O225" s="20"/>
      <c r="P225" s="20"/>
      <c r="Q225" s="21"/>
      <c r="R225" s="21"/>
      <c r="S225" s="21"/>
      <c r="T225" s="21"/>
      <c r="U225" s="21"/>
      <c r="V225" s="20"/>
      <c r="W225" s="20"/>
      <c r="X225" s="20"/>
      <c r="Y225" s="20"/>
      <c r="Z225" s="20"/>
      <c r="AA225" s="20"/>
      <c r="AB225" s="20"/>
      <c r="AC225" s="20"/>
      <c r="AD225" s="10"/>
      <c r="AE225" s="20"/>
      <c r="AF225" s="1"/>
      <c r="AG225" s="1"/>
      <c r="AH225" s="1"/>
      <c r="AI225" s="1"/>
      <c r="AJ225" s="1"/>
      <c r="AK225" s="1"/>
      <c r="AL225" s="1"/>
      <c r="AM225" s="1"/>
    </row>
    <row r="226" spans="1:39" ht="12.75">
      <c r="A226" s="10"/>
      <c r="B226" s="95"/>
      <c r="C226" s="20"/>
      <c r="D226" s="10"/>
      <c r="E226" s="21"/>
      <c r="F226" s="21"/>
      <c r="G226" s="20"/>
      <c r="H226" s="20"/>
      <c r="I226" s="20"/>
      <c r="J226" s="20"/>
      <c r="K226" s="20"/>
      <c r="L226" s="20"/>
      <c r="M226" s="20"/>
      <c r="N226" s="20"/>
      <c r="O226" s="20"/>
      <c r="P226" s="20"/>
      <c r="Q226" s="21"/>
      <c r="R226" s="21"/>
      <c r="S226" s="21"/>
      <c r="T226" s="21"/>
      <c r="U226" s="21"/>
      <c r="V226" s="20"/>
      <c r="W226" s="20"/>
      <c r="X226" s="20"/>
      <c r="Y226" s="20"/>
      <c r="Z226" s="20"/>
      <c r="AA226" s="20"/>
      <c r="AB226" s="20"/>
      <c r="AC226" s="20"/>
      <c r="AD226" s="10"/>
      <c r="AE226" s="20"/>
      <c r="AF226" s="1"/>
      <c r="AG226" s="1"/>
      <c r="AH226" s="1"/>
      <c r="AI226" s="1"/>
      <c r="AJ226" s="1"/>
      <c r="AK226" s="1"/>
      <c r="AL226" s="1"/>
      <c r="AM226" s="1"/>
    </row>
    <row r="227" spans="1:39" ht="12.75">
      <c r="A227" s="10"/>
      <c r="B227" s="95"/>
      <c r="C227" s="20"/>
      <c r="D227" s="10"/>
      <c r="E227" s="21"/>
      <c r="F227" s="21"/>
      <c r="G227" s="20"/>
      <c r="H227" s="20"/>
      <c r="I227" s="20"/>
      <c r="J227" s="20"/>
      <c r="K227" s="20"/>
      <c r="L227" s="20"/>
      <c r="M227" s="20"/>
      <c r="N227" s="20"/>
      <c r="O227" s="20"/>
      <c r="P227" s="20"/>
      <c r="Q227" s="21"/>
      <c r="R227" s="21"/>
      <c r="S227" s="21"/>
      <c r="T227" s="21"/>
      <c r="U227" s="21"/>
      <c r="V227" s="20"/>
      <c r="W227" s="20"/>
      <c r="X227" s="20"/>
      <c r="Y227" s="20"/>
      <c r="Z227" s="20"/>
      <c r="AA227" s="20"/>
      <c r="AB227" s="20"/>
      <c r="AC227" s="20"/>
      <c r="AD227" s="10"/>
      <c r="AE227" s="20"/>
      <c r="AF227" s="1"/>
      <c r="AG227" s="1"/>
      <c r="AH227" s="1"/>
      <c r="AI227" s="1"/>
      <c r="AJ227" s="1"/>
      <c r="AK227" s="1"/>
      <c r="AL227" s="1"/>
      <c r="AM227" s="1"/>
    </row>
    <row r="228" spans="1:39" ht="12.75">
      <c r="A228" s="10"/>
      <c r="B228" s="95"/>
      <c r="C228" s="20"/>
      <c r="D228" s="10"/>
      <c r="E228" s="21"/>
      <c r="F228" s="21"/>
      <c r="G228" s="20"/>
      <c r="H228" s="20"/>
      <c r="I228" s="20"/>
      <c r="J228" s="20"/>
      <c r="K228" s="20"/>
      <c r="L228" s="20"/>
      <c r="M228" s="20"/>
      <c r="N228" s="20"/>
      <c r="O228" s="20"/>
      <c r="P228" s="20"/>
      <c r="Q228" s="21"/>
      <c r="R228" s="21"/>
      <c r="S228" s="21"/>
      <c r="T228" s="21"/>
      <c r="U228" s="21"/>
      <c r="V228" s="20"/>
      <c r="W228" s="20"/>
      <c r="X228" s="20"/>
      <c r="Y228" s="20"/>
      <c r="Z228" s="20"/>
      <c r="AA228" s="20"/>
      <c r="AB228" s="20"/>
      <c r="AC228" s="20"/>
      <c r="AD228" s="10"/>
      <c r="AE228" s="20"/>
      <c r="AF228" s="1"/>
      <c r="AG228" s="1"/>
      <c r="AH228" s="1"/>
      <c r="AI228" s="1"/>
      <c r="AJ228" s="1"/>
      <c r="AK228" s="1"/>
      <c r="AL228" s="1"/>
      <c r="AM228" s="1"/>
    </row>
    <row r="229" spans="1:39" ht="12.75">
      <c r="A229" s="10"/>
      <c r="B229" s="95"/>
      <c r="C229" s="20"/>
      <c r="D229" s="10"/>
      <c r="E229" s="21"/>
      <c r="F229" s="21"/>
      <c r="G229" s="20"/>
      <c r="H229" s="20"/>
      <c r="I229" s="20"/>
      <c r="J229" s="20"/>
      <c r="K229" s="20"/>
      <c r="L229" s="20"/>
      <c r="M229" s="20"/>
      <c r="N229" s="20"/>
      <c r="O229" s="20"/>
      <c r="P229" s="20"/>
      <c r="Q229" s="21"/>
      <c r="R229" s="21"/>
      <c r="S229" s="21"/>
      <c r="T229" s="21"/>
      <c r="U229" s="21"/>
      <c r="V229" s="20"/>
      <c r="W229" s="20"/>
      <c r="X229" s="20"/>
      <c r="Y229" s="20"/>
      <c r="Z229" s="20"/>
      <c r="AA229" s="20"/>
      <c r="AB229" s="20"/>
      <c r="AC229" s="20"/>
      <c r="AD229" s="10"/>
      <c r="AE229" s="20"/>
      <c r="AF229" s="1"/>
      <c r="AG229" s="1"/>
      <c r="AH229" s="1"/>
      <c r="AI229" s="1"/>
      <c r="AJ229" s="1"/>
      <c r="AK229" s="1"/>
      <c r="AL229" s="1"/>
      <c r="AM229" s="1"/>
    </row>
    <row r="230" spans="1:39" ht="12.75">
      <c r="A230" s="10"/>
      <c r="B230" s="95"/>
      <c r="C230" s="20"/>
      <c r="D230" s="10"/>
      <c r="E230" s="21"/>
      <c r="F230" s="21"/>
      <c r="G230" s="20"/>
      <c r="H230" s="20"/>
      <c r="I230" s="20"/>
      <c r="J230" s="20"/>
      <c r="K230" s="20"/>
      <c r="L230" s="20"/>
      <c r="M230" s="20"/>
      <c r="N230" s="20"/>
      <c r="O230" s="20"/>
      <c r="P230" s="20"/>
      <c r="Q230" s="21"/>
      <c r="R230" s="21"/>
      <c r="S230" s="21"/>
      <c r="T230" s="21"/>
      <c r="U230" s="21"/>
      <c r="V230" s="20"/>
      <c r="W230" s="20"/>
      <c r="X230" s="20"/>
      <c r="Y230" s="20"/>
      <c r="Z230" s="20"/>
      <c r="AA230" s="20"/>
      <c r="AB230" s="20"/>
      <c r="AC230" s="20"/>
      <c r="AD230" s="10"/>
      <c r="AE230" s="20"/>
      <c r="AF230" s="1"/>
      <c r="AG230" s="1"/>
      <c r="AH230" s="1"/>
      <c r="AI230" s="1"/>
      <c r="AJ230" s="1"/>
      <c r="AK230" s="1"/>
      <c r="AL230" s="1"/>
      <c r="AM230" s="1"/>
    </row>
    <row r="231" spans="1:39" ht="12.75">
      <c r="A231" s="10"/>
      <c r="B231" s="95"/>
      <c r="C231" s="20"/>
      <c r="D231" s="10"/>
      <c r="E231" s="21"/>
      <c r="F231" s="21"/>
      <c r="G231" s="20"/>
      <c r="H231" s="20"/>
      <c r="I231" s="20"/>
      <c r="J231" s="20"/>
      <c r="K231" s="20"/>
      <c r="L231" s="20"/>
      <c r="M231" s="20"/>
      <c r="N231" s="20"/>
      <c r="O231" s="20"/>
      <c r="P231" s="20"/>
      <c r="Q231" s="21"/>
      <c r="R231" s="21"/>
      <c r="S231" s="21"/>
      <c r="T231" s="21"/>
      <c r="U231" s="21"/>
      <c r="V231" s="20"/>
      <c r="W231" s="20"/>
      <c r="X231" s="20"/>
      <c r="Y231" s="20"/>
      <c r="Z231" s="20"/>
      <c r="AA231" s="20"/>
      <c r="AB231" s="20"/>
      <c r="AC231" s="20"/>
      <c r="AD231" s="10"/>
      <c r="AE231" s="20"/>
      <c r="AF231" s="1"/>
      <c r="AG231" s="1"/>
      <c r="AH231" s="1"/>
      <c r="AI231" s="1"/>
      <c r="AJ231" s="1"/>
      <c r="AK231" s="1"/>
      <c r="AL231" s="1"/>
      <c r="AM231" s="1"/>
    </row>
    <row r="232" spans="1:39" ht="12.75">
      <c r="A232" s="10"/>
      <c r="B232" s="95"/>
      <c r="C232" s="20"/>
      <c r="D232" s="10"/>
      <c r="E232" s="21"/>
      <c r="F232" s="21"/>
      <c r="G232" s="21"/>
      <c r="H232" s="20"/>
      <c r="I232" s="20"/>
      <c r="J232" s="20"/>
      <c r="K232" s="20"/>
      <c r="L232" s="20"/>
      <c r="M232" s="20"/>
      <c r="N232" s="20"/>
      <c r="O232" s="20"/>
      <c r="P232" s="20"/>
      <c r="Q232" s="21"/>
      <c r="R232" s="21"/>
      <c r="S232" s="21"/>
      <c r="T232" s="21"/>
      <c r="U232" s="21"/>
      <c r="V232" s="20"/>
      <c r="W232" s="20"/>
      <c r="X232" s="20"/>
      <c r="Y232" s="20"/>
      <c r="Z232" s="20"/>
      <c r="AA232" s="20"/>
      <c r="AB232" s="20"/>
      <c r="AC232" s="20"/>
      <c r="AD232" s="10"/>
      <c r="AE232" s="20"/>
      <c r="AF232" s="1"/>
      <c r="AG232" s="1"/>
      <c r="AH232" s="1"/>
      <c r="AI232" s="1"/>
      <c r="AJ232" s="1"/>
      <c r="AK232" s="1"/>
      <c r="AL232" s="1"/>
      <c r="AM232" s="1"/>
    </row>
    <row r="233" spans="1:39" ht="12.75">
      <c r="A233" s="10"/>
      <c r="B233" s="95"/>
      <c r="C233" s="20"/>
      <c r="D233" s="10"/>
      <c r="E233" s="21"/>
      <c r="F233" s="21"/>
      <c r="G233" s="20"/>
      <c r="H233" s="20"/>
      <c r="I233" s="20"/>
      <c r="J233" s="20"/>
      <c r="K233" s="20"/>
      <c r="L233" s="20"/>
      <c r="M233" s="20"/>
      <c r="N233" s="20"/>
      <c r="O233" s="20"/>
      <c r="P233" s="20"/>
      <c r="Q233" s="21"/>
      <c r="R233" s="21"/>
      <c r="S233" s="21"/>
      <c r="T233" s="21"/>
      <c r="U233" s="21"/>
      <c r="V233" s="20"/>
      <c r="W233" s="20"/>
      <c r="X233" s="20"/>
      <c r="Y233" s="20"/>
      <c r="Z233" s="20"/>
      <c r="AA233" s="20"/>
      <c r="AB233" s="20"/>
      <c r="AC233" s="20"/>
      <c r="AD233" s="10"/>
      <c r="AE233" s="20"/>
      <c r="AF233" s="1"/>
      <c r="AG233" s="1"/>
      <c r="AH233" s="1"/>
      <c r="AI233" s="1"/>
      <c r="AJ233" s="1"/>
      <c r="AK233" s="1"/>
      <c r="AL233" s="1"/>
      <c r="AM233" s="1"/>
    </row>
    <row r="234" spans="1:39" ht="12.75">
      <c r="A234" s="10"/>
      <c r="B234" s="95"/>
      <c r="C234" s="20"/>
      <c r="D234" s="10"/>
      <c r="E234" s="21"/>
      <c r="F234" s="21"/>
      <c r="G234" s="20"/>
      <c r="H234" s="20"/>
      <c r="I234" s="20"/>
      <c r="J234" s="20"/>
      <c r="K234" s="20"/>
      <c r="L234" s="20"/>
      <c r="M234" s="20"/>
      <c r="N234" s="20"/>
      <c r="O234" s="20"/>
      <c r="P234" s="20"/>
      <c r="Q234" s="21"/>
      <c r="R234" s="21"/>
      <c r="S234" s="21"/>
      <c r="T234" s="21"/>
      <c r="U234" s="21"/>
      <c r="V234" s="20"/>
      <c r="W234" s="20"/>
      <c r="X234" s="20"/>
      <c r="Y234" s="20"/>
      <c r="Z234" s="20"/>
      <c r="AA234" s="20"/>
      <c r="AB234" s="20"/>
      <c r="AC234" s="20"/>
      <c r="AD234" s="10"/>
      <c r="AE234" s="20"/>
      <c r="AF234" s="1"/>
      <c r="AG234" s="1"/>
      <c r="AH234" s="1"/>
      <c r="AI234" s="1"/>
      <c r="AJ234" s="1"/>
      <c r="AK234" s="1"/>
      <c r="AL234" s="1"/>
      <c r="AM234" s="1"/>
    </row>
    <row r="235" spans="1:39" ht="12.75">
      <c r="A235" s="10"/>
      <c r="B235" s="95"/>
      <c r="C235" s="20"/>
      <c r="D235" s="10"/>
      <c r="E235" s="21"/>
      <c r="F235" s="21"/>
      <c r="G235" s="20"/>
      <c r="H235" s="20"/>
      <c r="I235" s="20"/>
      <c r="J235" s="20"/>
      <c r="K235" s="20"/>
      <c r="L235" s="20"/>
      <c r="M235" s="20"/>
      <c r="N235" s="20"/>
      <c r="O235" s="20"/>
      <c r="P235" s="20"/>
      <c r="Q235" s="21"/>
      <c r="R235" s="21"/>
      <c r="S235" s="21"/>
      <c r="T235" s="21"/>
      <c r="U235" s="21"/>
      <c r="V235" s="20"/>
      <c r="W235" s="20"/>
      <c r="X235" s="20"/>
      <c r="Y235" s="20"/>
      <c r="Z235" s="20"/>
      <c r="AA235" s="20"/>
      <c r="AB235" s="20"/>
      <c r="AC235" s="20"/>
      <c r="AD235" s="10"/>
      <c r="AE235" s="20"/>
      <c r="AF235" s="1"/>
      <c r="AG235" s="1"/>
      <c r="AH235" s="1"/>
      <c r="AI235" s="1"/>
      <c r="AJ235" s="1"/>
      <c r="AK235" s="1"/>
      <c r="AL235" s="1"/>
      <c r="AM235" s="1"/>
    </row>
    <row r="236" spans="1:39" ht="12.75">
      <c r="A236" s="10"/>
      <c r="B236" s="95"/>
      <c r="C236" s="20"/>
      <c r="D236" s="10"/>
      <c r="E236" s="21"/>
      <c r="F236" s="21"/>
      <c r="G236" s="20"/>
      <c r="H236" s="20"/>
      <c r="I236" s="20"/>
      <c r="J236" s="20"/>
      <c r="K236" s="20"/>
      <c r="L236" s="20"/>
      <c r="M236" s="20"/>
      <c r="N236" s="20"/>
      <c r="O236" s="20"/>
      <c r="P236" s="20"/>
      <c r="Q236" s="21"/>
      <c r="R236" s="21"/>
      <c r="S236" s="21"/>
      <c r="T236" s="21"/>
      <c r="U236" s="21"/>
      <c r="V236" s="20"/>
      <c r="W236" s="20"/>
      <c r="X236" s="20"/>
      <c r="Y236" s="20"/>
      <c r="Z236" s="20"/>
      <c r="AA236" s="20"/>
      <c r="AB236" s="20"/>
      <c r="AC236" s="20"/>
      <c r="AD236" s="10"/>
      <c r="AE236" s="20"/>
      <c r="AF236" s="1"/>
      <c r="AG236" s="1"/>
      <c r="AH236" s="1"/>
      <c r="AI236" s="1"/>
      <c r="AJ236" s="1"/>
      <c r="AK236" s="1"/>
      <c r="AL236" s="1"/>
      <c r="AM236" s="1"/>
    </row>
    <row r="237" spans="1:39" ht="12.75">
      <c r="A237" s="10"/>
      <c r="B237" s="95"/>
      <c r="C237" s="20"/>
      <c r="D237" s="20"/>
      <c r="E237" s="21"/>
      <c r="F237" s="21"/>
      <c r="G237" s="20"/>
      <c r="H237" s="20"/>
      <c r="I237" s="20"/>
      <c r="J237" s="20"/>
      <c r="K237" s="20"/>
      <c r="L237" s="20"/>
      <c r="M237" s="20"/>
      <c r="N237" s="20"/>
      <c r="O237" s="20"/>
      <c r="P237" s="20"/>
      <c r="Q237" s="21"/>
      <c r="R237" s="21"/>
      <c r="S237" s="21"/>
      <c r="T237" s="21"/>
      <c r="U237" s="21"/>
      <c r="V237" s="20"/>
      <c r="W237" s="20"/>
      <c r="X237" s="20"/>
      <c r="Y237" s="20"/>
      <c r="Z237" s="20"/>
      <c r="AA237" s="20"/>
      <c r="AB237" s="20"/>
      <c r="AC237" s="20"/>
      <c r="AD237" s="10"/>
      <c r="AE237" s="20"/>
      <c r="AF237" s="1"/>
      <c r="AG237" s="1"/>
      <c r="AH237" s="1"/>
      <c r="AI237" s="1"/>
      <c r="AJ237" s="1"/>
      <c r="AK237" s="1"/>
      <c r="AL237" s="1"/>
      <c r="AM237" s="1"/>
    </row>
    <row r="238" spans="1:39" ht="12.7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I238" s="1"/>
      <c r="AJ238" s="1"/>
      <c r="AK238" s="1"/>
      <c r="AL238" s="1"/>
      <c r="AM238" s="1"/>
    </row>
    <row r="239" spans="1:39" ht="12.7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I239" s="1"/>
      <c r="AJ239" s="1"/>
      <c r="AK239" s="1"/>
      <c r="AL239" s="1"/>
      <c r="AM239" s="1"/>
    </row>
    <row r="240" spans="1:39" ht="12.75">
      <c r="A240" s="10"/>
      <c r="B240" s="95"/>
      <c r="C240" s="20"/>
      <c r="D240" s="20"/>
      <c r="E240" s="21"/>
      <c r="F240" s="21"/>
      <c r="G240" s="20"/>
      <c r="H240" s="20"/>
      <c r="I240" s="20"/>
      <c r="J240" s="20"/>
      <c r="K240" s="20"/>
      <c r="L240" s="20"/>
      <c r="M240" s="20"/>
      <c r="N240" s="20"/>
      <c r="O240" s="20"/>
      <c r="P240" s="20"/>
      <c r="Q240" s="21"/>
      <c r="R240" s="21"/>
      <c r="S240" s="21"/>
      <c r="T240" s="21"/>
      <c r="U240" s="21"/>
      <c r="V240" s="20"/>
      <c r="W240" s="20"/>
      <c r="X240" s="20"/>
      <c r="Y240" s="20"/>
      <c r="Z240" s="20"/>
      <c r="AA240" s="20"/>
      <c r="AB240" s="20"/>
      <c r="AC240" s="20"/>
      <c r="AD240" s="10"/>
      <c r="AE240" s="20"/>
      <c r="AF240" s="1"/>
      <c r="AG240" s="1"/>
      <c r="AH240" s="1"/>
      <c r="AI240" s="1"/>
      <c r="AJ240" s="1"/>
      <c r="AK240" s="1"/>
      <c r="AL240" s="1"/>
      <c r="AM240" s="1"/>
    </row>
    <row r="241" spans="1:39" ht="12.75">
      <c r="A241" s="10"/>
      <c r="B241" s="95"/>
      <c r="C241" s="20"/>
      <c r="D241" s="20"/>
      <c r="E241" s="21"/>
      <c r="F241" s="21"/>
      <c r="G241" s="20"/>
      <c r="H241" s="20"/>
      <c r="I241" s="20"/>
      <c r="J241" s="20"/>
      <c r="K241" s="20"/>
      <c r="L241" s="20"/>
      <c r="M241" s="20"/>
      <c r="N241" s="20"/>
      <c r="O241" s="20"/>
      <c r="P241" s="20"/>
      <c r="Q241" s="21"/>
      <c r="R241" s="21"/>
      <c r="S241" s="21"/>
      <c r="T241" s="21"/>
      <c r="U241" s="21"/>
      <c r="V241" s="20"/>
      <c r="W241" s="20"/>
      <c r="X241" s="20"/>
      <c r="Y241" s="20"/>
      <c r="Z241" s="20"/>
      <c r="AA241" s="20"/>
      <c r="AB241" s="20"/>
      <c r="AC241" s="20"/>
      <c r="AD241" s="10"/>
      <c r="AE241" s="20"/>
      <c r="AF241" s="1"/>
      <c r="AG241" s="1"/>
      <c r="AH241" s="1"/>
      <c r="AI241" s="1"/>
      <c r="AJ241" s="1"/>
      <c r="AK241" s="1"/>
      <c r="AL241" s="1"/>
      <c r="AM241" s="1"/>
    </row>
    <row r="242" spans="1:31" ht="12.75">
      <c r="A242" s="10"/>
      <c r="B242" s="95"/>
      <c r="C242" s="20"/>
      <c r="D242" s="20"/>
      <c r="E242" s="21"/>
      <c r="F242" s="21"/>
      <c r="G242" s="20"/>
      <c r="H242" s="20"/>
      <c r="I242" s="20"/>
      <c r="J242" s="20"/>
      <c r="K242" s="20"/>
      <c r="L242" s="20"/>
      <c r="M242" s="20"/>
      <c r="N242" s="20"/>
      <c r="O242" s="20"/>
      <c r="P242" s="20"/>
      <c r="Q242" s="21"/>
      <c r="R242" s="21"/>
      <c r="S242" s="21"/>
      <c r="T242" s="21"/>
      <c r="U242" s="21"/>
      <c r="V242" s="20"/>
      <c r="W242" s="20"/>
      <c r="X242" s="20"/>
      <c r="Y242" s="20"/>
      <c r="Z242" s="20"/>
      <c r="AA242" s="20"/>
      <c r="AB242" s="20"/>
      <c r="AC242" s="20"/>
      <c r="AD242" s="31"/>
      <c r="AE242" s="20"/>
    </row>
    <row r="243" spans="1:31" ht="12.75">
      <c r="A243" s="10"/>
      <c r="B243" s="95"/>
      <c r="C243" s="20"/>
      <c r="D243" s="20"/>
      <c r="E243" s="21"/>
      <c r="F243" s="21"/>
      <c r="G243" s="20"/>
      <c r="H243" s="20"/>
      <c r="I243" s="20"/>
      <c r="J243" s="20"/>
      <c r="K243" s="20"/>
      <c r="L243" s="20"/>
      <c r="M243" s="20"/>
      <c r="N243" s="20"/>
      <c r="O243" s="20"/>
      <c r="P243" s="20"/>
      <c r="Q243" s="21"/>
      <c r="R243" s="21"/>
      <c r="S243" s="21"/>
      <c r="T243" s="21"/>
      <c r="U243" s="21"/>
      <c r="V243" s="20"/>
      <c r="W243" s="20"/>
      <c r="X243" s="20"/>
      <c r="Y243" s="20"/>
      <c r="Z243" s="20"/>
      <c r="AA243" s="20"/>
      <c r="AB243" s="20"/>
      <c r="AC243" s="20"/>
      <c r="AD243" s="31"/>
      <c r="AE243" s="20"/>
    </row>
    <row r="244" spans="1:31" ht="12.75">
      <c r="A244" s="10"/>
      <c r="B244" s="95"/>
      <c r="C244" s="20"/>
      <c r="D244" s="20"/>
      <c r="E244" s="21"/>
      <c r="F244" s="21"/>
      <c r="G244" s="21"/>
      <c r="H244" s="20"/>
      <c r="I244" s="20"/>
      <c r="J244" s="21"/>
      <c r="K244" s="21"/>
      <c r="L244" s="21"/>
      <c r="M244" s="21"/>
      <c r="N244" s="21"/>
      <c r="O244" s="21"/>
      <c r="P244" s="20"/>
      <c r="Q244" s="21"/>
      <c r="R244" s="21"/>
      <c r="S244" s="21"/>
      <c r="T244" s="21"/>
      <c r="U244" s="21"/>
      <c r="V244" s="20"/>
      <c r="W244" s="20"/>
      <c r="X244" s="20"/>
      <c r="Y244" s="20"/>
      <c r="Z244" s="20"/>
      <c r="AA244" s="20"/>
      <c r="AB244" s="20"/>
      <c r="AC244" s="20"/>
      <c r="AD244" s="31"/>
      <c r="AE244" s="20"/>
    </row>
    <row r="245" spans="1:31" ht="12.75">
      <c r="A245" s="10"/>
      <c r="B245" s="95"/>
      <c r="C245" s="20"/>
      <c r="D245" s="20"/>
      <c r="E245" s="21"/>
      <c r="F245" s="21"/>
      <c r="G245" s="20"/>
      <c r="H245" s="20"/>
      <c r="I245" s="20"/>
      <c r="J245" s="20"/>
      <c r="K245" s="20"/>
      <c r="L245" s="20"/>
      <c r="M245" s="20"/>
      <c r="N245" s="20"/>
      <c r="O245" s="20"/>
      <c r="P245" s="20"/>
      <c r="Q245" s="21"/>
      <c r="R245" s="21"/>
      <c r="S245" s="21"/>
      <c r="T245" s="21"/>
      <c r="U245" s="21"/>
      <c r="V245" s="20"/>
      <c r="W245" s="20"/>
      <c r="X245" s="20"/>
      <c r="Y245" s="20"/>
      <c r="Z245" s="20"/>
      <c r="AA245" s="20"/>
      <c r="AB245" s="20"/>
      <c r="AC245" s="20"/>
      <c r="AD245" s="31"/>
      <c r="AE245" s="20"/>
    </row>
    <row r="246" spans="1:31" ht="12.75">
      <c r="A246" s="10"/>
      <c r="B246" s="95"/>
      <c r="C246" s="20"/>
      <c r="D246" s="20"/>
      <c r="E246" s="21"/>
      <c r="F246" s="21"/>
      <c r="G246" s="20"/>
      <c r="H246" s="20"/>
      <c r="I246" s="20"/>
      <c r="J246" s="20"/>
      <c r="K246" s="20"/>
      <c r="L246" s="20"/>
      <c r="M246" s="20"/>
      <c r="N246" s="20"/>
      <c r="O246" s="20"/>
      <c r="P246" s="20"/>
      <c r="Q246" s="21"/>
      <c r="R246" s="21"/>
      <c r="S246" s="21"/>
      <c r="T246" s="21"/>
      <c r="U246" s="21"/>
      <c r="V246" s="20"/>
      <c r="W246" s="20"/>
      <c r="X246" s="20"/>
      <c r="Y246" s="20"/>
      <c r="Z246" s="20"/>
      <c r="AA246" s="20"/>
      <c r="AB246" s="20"/>
      <c r="AC246" s="20"/>
      <c r="AD246" s="31"/>
      <c r="AE246" s="20"/>
    </row>
    <row r="247" spans="1:31" ht="12.75">
      <c r="A247" s="10"/>
      <c r="B247" s="95"/>
      <c r="C247" s="20"/>
      <c r="D247" s="20"/>
      <c r="E247" s="21"/>
      <c r="F247" s="21"/>
      <c r="G247" s="20"/>
      <c r="H247" s="20"/>
      <c r="I247" s="20"/>
      <c r="J247" s="20"/>
      <c r="K247" s="20"/>
      <c r="L247" s="20"/>
      <c r="M247" s="20"/>
      <c r="N247" s="20"/>
      <c r="O247" s="20"/>
      <c r="P247" s="20"/>
      <c r="Q247" s="21"/>
      <c r="R247" s="21"/>
      <c r="S247" s="21"/>
      <c r="T247" s="21"/>
      <c r="U247" s="21"/>
      <c r="V247" s="20"/>
      <c r="W247" s="20"/>
      <c r="X247" s="20"/>
      <c r="Y247" s="20"/>
      <c r="Z247" s="20"/>
      <c r="AA247" s="20"/>
      <c r="AB247" s="20"/>
      <c r="AC247" s="20"/>
      <c r="AD247" s="31"/>
      <c r="AE247" s="20"/>
    </row>
    <row r="248" spans="1:31" ht="12.75">
      <c r="A248" s="10"/>
      <c r="B248" s="95"/>
      <c r="C248" s="20"/>
      <c r="D248" s="20"/>
      <c r="E248" s="21"/>
      <c r="F248" s="21"/>
      <c r="G248" s="20"/>
      <c r="H248" s="20"/>
      <c r="I248" s="20"/>
      <c r="J248" s="20"/>
      <c r="K248" s="20"/>
      <c r="L248" s="20"/>
      <c r="M248" s="20"/>
      <c r="N248" s="20"/>
      <c r="O248" s="20"/>
      <c r="P248" s="20"/>
      <c r="Q248" s="21"/>
      <c r="R248" s="21"/>
      <c r="S248" s="21"/>
      <c r="T248" s="21"/>
      <c r="U248" s="21"/>
      <c r="V248" s="20"/>
      <c r="W248" s="20"/>
      <c r="X248" s="20"/>
      <c r="Y248" s="20"/>
      <c r="Z248" s="20"/>
      <c r="AA248" s="20"/>
      <c r="AB248" s="20"/>
      <c r="AC248" s="20"/>
      <c r="AD248" s="31"/>
      <c r="AE248" s="20"/>
    </row>
    <row r="249" spans="1:31" ht="12.75">
      <c r="A249" s="10"/>
      <c r="B249" s="95"/>
      <c r="C249" s="20"/>
      <c r="D249" s="20"/>
      <c r="E249" s="21"/>
      <c r="F249" s="21"/>
      <c r="G249" s="20"/>
      <c r="H249" s="20"/>
      <c r="I249" s="20"/>
      <c r="J249" s="20"/>
      <c r="K249" s="20"/>
      <c r="L249" s="20"/>
      <c r="M249" s="20"/>
      <c r="N249" s="20"/>
      <c r="O249" s="20"/>
      <c r="P249" s="20"/>
      <c r="Q249" s="21"/>
      <c r="R249" s="21"/>
      <c r="S249" s="21"/>
      <c r="T249" s="21"/>
      <c r="U249" s="21"/>
      <c r="V249" s="20"/>
      <c r="W249" s="20"/>
      <c r="X249" s="20"/>
      <c r="Y249" s="20"/>
      <c r="Z249" s="20"/>
      <c r="AA249" s="20"/>
      <c r="AB249" s="20"/>
      <c r="AC249" s="20"/>
      <c r="AD249" s="31"/>
      <c r="AE249" s="20"/>
    </row>
    <row r="250" spans="6:31" ht="12.75">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row>
    <row r="251" spans="6:31" ht="12.75">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row>
    <row r="252" ht="12.75">
      <c r="AE252" s="31"/>
    </row>
    <row r="253" spans="2:31" ht="12.75">
      <c r="B253" s="56"/>
      <c r="E253" s="56"/>
      <c r="K253" s="57"/>
      <c r="AE253" s="31"/>
    </row>
    <row r="254" ht="12.75">
      <c r="AE254" s="31"/>
    </row>
    <row r="255" ht="12.75">
      <c r="AE255" s="31"/>
    </row>
    <row r="256" ht="12.75">
      <c r="AD256" s="31"/>
    </row>
  </sheetData>
  <sheetProtection/>
  <hyperlinks>
    <hyperlink ref="A3" r:id="rId1" display="Kilder"/>
  </hyperlinks>
  <printOptions/>
  <pageMargins left="0.75" right="0.75" top="1" bottom="1" header="0" footer="0"/>
  <pageSetup horizontalDpi="300" verticalDpi="300" orientation="portrait" paperSize="9" r:id="rId4"/>
  <legacyDrawing r:id="rId3"/>
</worksheet>
</file>

<file path=xl/worksheets/sheet2.xml><?xml version="1.0" encoding="utf-8"?>
<worksheet xmlns="http://schemas.openxmlformats.org/spreadsheetml/2006/main" xmlns:r="http://schemas.openxmlformats.org/officeDocument/2006/relationships">
  <sheetPr>
    <tabColor theme="6" tint="-0.24997000396251678"/>
  </sheetPr>
  <dimension ref="A1:BW261"/>
  <sheetViews>
    <sheetView zoomScalePageLayoutView="0" workbookViewId="0" topLeftCell="A1">
      <selection activeCell="A2" sqref="A2:B2"/>
    </sheetView>
  </sheetViews>
  <sheetFormatPr defaultColWidth="9.140625" defaultRowHeight="12.75"/>
  <cols>
    <col min="1" max="1" width="21.7109375" style="0" customWidth="1"/>
    <col min="2" max="3" width="17.140625" style="0" customWidth="1"/>
    <col min="4" max="4" width="9.421875" style="0" customWidth="1"/>
    <col min="35" max="35" width="18.28125" style="0" customWidth="1"/>
    <col min="38" max="38" width="2.8515625" style="0" hidden="1" customWidth="1"/>
    <col min="39" max="42" width="9.140625" style="0" hidden="1" customWidth="1"/>
    <col min="43" max="43" width="18.28125" style="0" hidden="1" customWidth="1"/>
    <col min="44" max="44" width="9.140625" style="0" hidden="1" customWidth="1"/>
    <col min="45" max="45" width="2.8515625" style="0" hidden="1" customWidth="1"/>
    <col min="46" max="49" width="9.140625" style="0" hidden="1" customWidth="1"/>
    <col min="50" max="50" width="18.28125" style="0" hidden="1" customWidth="1"/>
    <col min="51" max="51" width="9.140625" style="0" hidden="1" customWidth="1"/>
    <col min="52" max="52" width="2.8515625" style="0" hidden="1" customWidth="1"/>
    <col min="53" max="56" width="9.140625" style="0" hidden="1" customWidth="1"/>
    <col min="57" max="57" width="18.28125" style="0" hidden="1" customWidth="1"/>
    <col min="58" max="58" width="9.140625" style="0" hidden="1" customWidth="1"/>
    <col min="59" max="59" width="2.8515625" style="0" hidden="1" customWidth="1"/>
    <col min="60" max="63" width="9.140625" style="0" hidden="1" customWidth="1"/>
    <col min="64" max="64" width="18.28125" style="0" hidden="1" customWidth="1"/>
    <col min="65" max="65" width="9.140625" style="0" hidden="1" customWidth="1"/>
    <col min="66" max="66" width="2.8515625" style="0" hidden="1" customWidth="1"/>
    <col min="67" max="70" width="9.140625" style="0" hidden="1" customWidth="1"/>
    <col min="71" max="71" width="18.28125" style="0" hidden="1" customWidth="1"/>
    <col min="72" max="72" width="9.140625" style="0" hidden="1" customWidth="1"/>
  </cols>
  <sheetData>
    <row r="1" spans="1:29" ht="12.75">
      <c r="A1" s="115" t="s">
        <v>433</v>
      </c>
      <c r="B1" s="1"/>
      <c r="C1" s="14"/>
      <c r="E1" s="154" t="s">
        <v>207</v>
      </c>
      <c r="F1" s="15"/>
      <c r="G1" s="15"/>
      <c r="H1" s="154" t="s">
        <v>199</v>
      </c>
      <c r="I1" s="7"/>
      <c r="K1" s="154" t="s">
        <v>264</v>
      </c>
      <c r="N1" s="155" t="s">
        <v>229</v>
      </c>
      <c r="O1" s="86"/>
      <c r="P1" s="142"/>
      <c r="Q1" s="142"/>
      <c r="R1" s="160">
        <v>6.09</v>
      </c>
      <c r="S1" s="153">
        <f>N2/AE11*AF11</f>
        <v>6.470000000000001</v>
      </c>
      <c r="T1" s="142">
        <f>S1-R1</f>
        <v>0.3800000000000008</v>
      </c>
      <c r="U1" s="142">
        <f>T1/R1</f>
        <v>0.06239737274220046</v>
      </c>
      <c r="V1" s="152"/>
      <c r="W1" s="152"/>
      <c r="X1" s="148">
        <f>AC1/S1</f>
        <v>3.153054610683687</v>
      </c>
      <c r="Y1" s="142">
        <f>D6</f>
        <v>0.9718999999999998</v>
      </c>
      <c r="Z1" s="142">
        <f>X1</f>
        <v>3.153054610683687</v>
      </c>
      <c r="AA1" s="142">
        <f>Y1-Z1</f>
        <v>-2.1811546106836874</v>
      </c>
      <c r="AB1" s="142">
        <f>AA1/25</f>
        <v>-0.0872461844273475</v>
      </c>
      <c r="AC1" s="142">
        <f>V2*AE13/AF13</f>
        <v>20.40026333112346</v>
      </c>
    </row>
    <row r="2" spans="1:75" ht="15.75">
      <c r="A2" s="312" t="s">
        <v>426</v>
      </c>
      <c r="B2" s="209"/>
      <c r="C2" s="225"/>
      <c r="E2" s="207">
        <v>1.05</v>
      </c>
      <c r="F2" s="205" t="s">
        <v>194</v>
      </c>
      <c r="G2" s="210"/>
      <c r="H2" s="208">
        <v>17.6</v>
      </c>
      <c r="I2" s="206" t="s">
        <v>157</v>
      </c>
      <c r="J2" s="211"/>
      <c r="K2" s="208">
        <v>379.75</v>
      </c>
      <c r="L2" s="206" t="s">
        <v>255</v>
      </c>
      <c r="N2" s="207">
        <v>6.47</v>
      </c>
      <c r="O2" s="205" t="s">
        <v>227</v>
      </c>
      <c r="P2" s="157">
        <f>U1*100</f>
        <v>6.239737274220046</v>
      </c>
      <c r="Q2" s="156" t="s">
        <v>230</v>
      </c>
      <c r="R2" s="59"/>
      <c r="S2" s="152"/>
      <c r="T2" s="58">
        <v>369.41</v>
      </c>
      <c r="U2" s="160">
        <f>K2/AE10*AF10</f>
        <v>379.75</v>
      </c>
      <c r="V2" s="142">
        <f>20*T2/U2</f>
        <v>19.455431204739963</v>
      </c>
      <c r="W2" s="58"/>
      <c r="X2" s="58"/>
      <c r="Y2" s="58"/>
      <c r="Z2" s="58"/>
      <c r="AA2" s="58"/>
      <c r="AE2" s="35"/>
      <c r="AF2" s="220" t="s">
        <v>296</v>
      </c>
      <c r="AH2" s="110"/>
      <c r="AI2" s="397" t="s">
        <v>302</v>
      </c>
      <c r="AK2" s="3"/>
      <c r="AM2" s="397" t="s">
        <v>303</v>
      </c>
      <c r="AQ2" s="3"/>
      <c r="AR2" s="3"/>
      <c r="AT2" s="397" t="s">
        <v>303</v>
      </c>
      <c r="AX2" s="3"/>
      <c r="AY2" s="3"/>
      <c r="BA2" s="397" t="s">
        <v>303</v>
      </c>
      <c r="BE2" s="3"/>
      <c r="BF2" s="3"/>
      <c r="BH2" s="397" t="s">
        <v>303</v>
      </c>
      <c r="BL2" s="3"/>
      <c r="BM2" s="3"/>
      <c r="BO2" s="397" t="s">
        <v>303</v>
      </c>
      <c r="BS2" s="3"/>
      <c r="BT2" s="3"/>
      <c r="BU2" s="530"/>
      <c r="BV2" s="531"/>
      <c r="BW2" s="530"/>
    </row>
    <row r="3" spans="1:75" ht="12.75">
      <c r="A3" s="99" t="s">
        <v>242</v>
      </c>
      <c r="B3" s="5"/>
      <c r="C3" s="24"/>
      <c r="E3" s="24"/>
      <c r="F3" s="24"/>
      <c r="G3" s="24"/>
      <c r="H3" s="24"/>
      <c r="I3" s="24"/>
      <c r="J3" s="24"/>
      <c r="K3" s="24"/>
      <c r="L3" s="24"/>
      <c r="M3" s="24"/>
      <c r="N3" s="24"/>
      <c r="O3" s="24"/>
      <c r="P3" s="24"/>
      <c r="Q3" s="24"/>
      <c r="R3" s="230"/>
      <c r="S3" s="230"/>
      <c r="T3" s="230"/>
      <c r="U3" s="230"/>
      <c r="V3" s="230"/>
      <c r="W3" s="230"/>
      <c r="X3" s="230"/>
      <c r="Y3" s="41"/>
      <c r="Z3" s="3"/>
      <c r="AA3" s="3"/>
      <c r="AB3" s="3"/>
      <c r="AC3" s="3"/>
      <c r="AD3" s="3"/>
      <c r="AE3" s="556"/>
      <c r="AF3" s="561"/>
      <c r="AG3" s="562" t="s">
        <v>301</v>
      </c>
      <c r="AH3" s="563"/>
      <c r="AI3" s="565" t="str">
        <f>A30</f>
        <v>Albania</v>
      </c>
      <c r="AJ3" s="564"/>
      <c r="AK3" s="563"/>
      <c r="AM3" s="414"/>
      <c r="AN3" s="415"/>
      <c r="AO3" s="416"/>
      <c r="AP3" s="414"/>
      <c r="AQ3" s="414"/>
      <c r="AR3" s="414"/>
      <c r="AT3" s="414"/>
      <c r="AU3" s="415"/>
      <c r="AV3" s="416"/>
      <c r="AW3" s="414"/>
      <c r="AX3" s="414"/>
      <c r="AY3" s="414"/>
      <c r="BA3" s="414"/>
      <c r="BB3" s="415"/>
      <c r="BC3" s="416"/>
      <c r="BD3" s="414"/>
      <c r="BE3" s="414"/>
      <c r="BF3" s="414"/>
      <c r="BH3" s="414"/>
      <c r="BI3" s="415"/>
      <c r="BJ3" s="416"/>
      <c r="BK3" s="414"/>
      <c r="BL3" s="414"/>
      <c r="BM3" s="414"/>
      <c r="BO3" s="414"/>
      <c r="BP3" s="415"/>
      <c r="BQ3" s="416"/>
      <c r="BR3" s="414"/>
      <c r="BS3" s="414"/>
      <c r="BT3" s="414"/>
      <c r="BU3" s="530"/>
      <c r="BV3" s="530"/>
      <c r="BW3" s="530"/>
    </row>
    <row r="4" spans="1:73" ht="14.25" thickBot="1">
      <c r="A4" s="336" t="s">
        <v>203</v>
      </c>
      <c r="B4" s="1"/>
      <c r="C4" s="229" t="s">
        <v>259</v>
      </c>
      <c r="D4" s="229" t="s">
        <v>260</v>
      </c>
      <c r="AD4" s="130"/>
      <c r="AE4" s="574">
        <v>10</v>
      </c>
      <c r="AF4" s="557">
        <v>10</v>
      </c>
      <c r="AG4" s="558" t="s">
        <v>297</v>
      </c>
      <c r="AH4" s="409"/>
      <c r="AI4" s="567" t="s">
        <v>319</v>
      </c>
      <c r="AJ4" s="568"/>
      <c r="AK4" s="568"/>
      <c r="AM4" s="406"/>
      <c r="AN4" s="408"/>
      <c r="AO4" s="407"/>
      <c r="AP4" s="413"/>
      <c r="AQ4" s="413"/>
      <c r="AR4" s="413"/>
      <c r="AT4" s="406"/>
      <c r="AU4" s="408"/>
      <c r="AV4" s="407"/>
      <c r="AW4" s="413"/>
      <c r="AX4" s="413"/>
      <c r="AY4" s="413"/>
      <c r="BA4" s="406"/>
      <c r="BB4" s="408"/>
      <c r="BC4" s="407"/>
      <c r="BD4" s="413"/>
      <c r="BE4" s="413"/>
      <c r="BF4" s="413"/>
      <c r="BH4" s="406"/>
      <c r="BI4" s="408"/>
      <c r="BJ4" s="407"/>
      <c r="BK4" s="413"/>
      <c r="BL4" s="413"/>
      <c r="BM4" s="413"/>
      <c r="BO4" s="406"/>
      <c r="BP4" s="408"/>
      <c r="BQ4" s="407"/>
      <c r="BR4" s="413"/>
      <c r="BS4" s="413"/>
      <c r="BT4" s="413"/>
      <c r="BU4" s="530"/>
    </row>
    <row r="5" spans="1:73" ht="13.5" thickBot="1">
      <c r="A5" s="93" t="s">
        <v>206</v>
      </c>
      <c r="B5" s="2"/>
      <c r="C5" s="229" t="s">
        <v>200</v>
      </c>
      <c r="D5" s="229" t="s">
        <v>224</v>
      </c>
      <c r="E5" s="16">
        <v>2000</v>
      </c>
      <c r="F5" s="16">
        <v>2001</v>
      </c>
      <c r="G5" s="16">
        <v>2002</v>
      </c>
      <c r="H5" s="16">
        <v>2003</v>
      </c>
      <c r="I5" s="16">
        <v>2004</v>
      </c>
      <c r="J5" s="16">
        <v>2005</v>
      </c>
      <c r="K5" s="16">
        <v>2006</v>
      </c>
      <c r="L5" s="16">
        <v>2007</v>
      </c>
      <c r="M5" s="16">
        <v>2008</v>
      </c>
      <c r="N5" s="16">
        <v>2009</v>
      </c>
      <c r="O5" s="16">
        <v>2010</v>
      </c>
      <c r="P5" s="16">
        <v>2011</v>
      </c>
      <c r="Q5" s="16">
        <v>2012</v>
      </c>
      <c r="R5" s="16">
        <v>2013</v>
      </c>
      <c r="S5" s="16">
        <v>2014</v>
      </c>
      <c r="T5" s="34">
        <v>2015</v>
      </c>
      <c r="U5" s="34">
        <v>2016</v>
      </c>
      <c r="V5" s="34">
        <v>2017</v>
      </c>
      <c r="W5" s="34">
        <v>2018</v>
      </c>
      <c r="X5" s="34">
        <v>2019</v>
      </c>
      <c r="Y5" s="537">
        <v>2020</v>
      </c>
      <c r="Z5" s="538">
        <v>2021</v>
      </c>
      <c r="AA5" s="538">
        <v>2022</v>
      </c>
      <c r="AB5" s="538">
        <v>2023</v>
      </c>
      <c r="AC5" s="539">
        <v>2024</v>
      </c>
      <c r="AD5" s="41"/>
      <c r="AE5" s="574">
        <v>10</v>
      </c>
      <c r="AF5" s="557">
        <v>10</v>
      </c>
      <c r="AG5" s="411" t="s">
        <v>298</v>
      </c>
      <c r="AH5" s="409"/>
      <c r="AI5" s="410">
        <f>B20</f>
        <v>3.74822932673288</v>
      </c>
      <c r="AJ5" s="563"/>
      <c r="AK5" s="569"/>
      <c r="AM5" s="406"/>
      <c r="AN5" s="408"/>
      <c r="AO5" s="407"/>
      <c r="AP5" s="410"/>
      <c r="AQ5" s="424"/>
      <c r="AR5" s="424"/>
      <c r="AT5" s="406"/>
      <c r="AU5" s="408"/>
      <c r="AV5" s="407"/>
      <c r="AW5" s="410"/>
      <c r="AX5" s="424"/>
      <c r="AY5" s="424"/>
      <c r="BA5" s="406"/>
      <c r="BB5" s="408"/>
      <c r="BC5" s="407"/>
      <c r="BD5" s="410"/>
      <c r="BE5" s="424"/>
      <c r="BF5" s="424"/>
      <c r="BH5" s="406"/>
      <c r="BI5" s="408"/>
      <c r="BJ5" s="407"/>
      <c r="BK5" s="410"/>
      <c r="BL5" s="424"/>
      <c r="BM5" s="424"/>
      <c r="BO5" s="406"/>
      <c r="BP5" s="408"/>
      <c r="BQ5" s="407"/>
      <c r="BR5" s="410"/>
      <c r="BS5" s="424"/>
      <c r="BT5" s="424"/>
      <c r="BU5" s="530"/>
    </row>
    <row r="6" spans="1:73" ht="13.5" thickBot="1">
      <c r="A6" s="1"/>
      <c r="B6" s="380" t="str">
        <f>A30</f>
        <v>Albania</v>
      </c>
      <c r="C6" s="245">
        <f>C30</f>
        <v>0.9718999999999998</v>
      </c>
      <c r="D6" s="381">
        <f>C6+G30</f>
        <v>0.9718999999999998</v>
      </c>
      <c r="E6" s="245">
        <f>D6-AB1</f>
        <v>1.0591461844273473</v>
      </c>
      <c r="F6" s="245">
        <f>E6-AB1</f>
        <v>1.1463923688546949</v>
      </c>
      <c r="G6" s="245">
        <f>F6-AB1</f>
        <v>1.2336385532820424</v>
      </c>
      <c r="H6" s="245">
        <f>G6-AB1</f>
        <v>1.32088473770939</v>
      </c>
      <c r="I6" s="245">
        <f>H6-AB1</f>
        <v>1.4081309221367375</v>
      </c>
      <c r="J6" s="245">
        <f>I6-AB1</f>
        <v>1.495377106564085</v>
      </c>
      <c r="K6" s="245">
        <f>J6-AB1</f>
        <v>1.5826232909914326</v>
      </c>
      <c r="L6" s="245">
        <f>K6-AB1</f>
        <v>1.6698694754187802</v>
      </c>
      <c r="M6" s="245">
        <f>L6-AB1</f>
        <v>1.7571156598461277</v>
      </c>
      <c r="N6" s="245">
        <f>M6-AB1</f>
        <v>1.8443618442734753</v>
      </c>
      <c r="O6" s="245">
        <f>N6-AB1</f>
        <v>1.9316080287008228</v>
      </c>
      <c r="P6" s="245">
        <f>O6-AB1</f>
        <v>2.0188542131281704</v>
      </c>
      <c r="Q6" s="245">
        <f>P6-AB1</f>
        <v>2.106100397555518</v>
      </c>
      <c r="R6" s="245">
        <f>Q6-AB1</f>
        <v>2.1933465819828655</v>
      </c>
      <c r="S6" s="245">
        <f>R6-AB1</f>
        <v>2.280592766410213</v>
      </c>
      <c r="T6" s="245">
        <f>S6-AB1</f>
        <v>2.3678389508375606</v>
      </c>
      <c r="U6" s="245">
        <f>T6-AB1</f>
        <v>2.455085135264908</v>
      </c>
      <c r="V6" s="245">
        <f>U6-AB1</f>
        <v>2.5423313196922557</v>
      </c>
      <c r="W6" s="245">
        <f>V6-AB1</f>
        <v>2.6295775041196032</v>
      </c>
      <c r="X6" s="245">
        <f>W6-AB1</f>
        <v>2.7168236885469508</v>
      </c>
      <c r="Y6" s="540">
        <f>X6-AB1</f>
        <v>2.8040698729742983</v>
      </c>
      <c r="Z6" s="245">
        <f>Y6-AB1</f>
        <v>2.891316057401646</v>
      </c>
      <c r="AA6" s="245">
        <f>Z6-AB1</f>
        <v>2.9785622418289934</v>
      </c>
      <c r="AB6" s="245">
        <f>AA6-AB1</f>
        <v>3.065808426256341</v>
      </c>
      <c r="AC6" s="541">
        <f>AB6-AB1</f>
        <v>3.1530546106836885</v>
      </c>
      <c r="AD6" s="131"/>
      <c r="AE6" s="574">
        <v>10</v>
      </c>
      <c r="AF6" s="559">
        <v>10</v>
      </c>
      <c r="AG6" s="411" t="s">
        <v>386</v>
      </c>
      <c r="AH6" s="412"/>
      <c r="AI6" s="570" t="s">
        <v>387</v>
      </c>
      <c r="AJ6" s="571"/>
      <c r="AK6" s="571"/>
      <c r="AM6" s="406"/>
      <c r="AN6" s="408"/>
      <c r="AO6" s="407"/>
      <c r="AP6" s="413"/>
      <c r="AQ6" s="413"/>
      <c r="AR6" s="413"/>
      <c r="AT6" s="406"/>
      <c r="AU6" s="408"/>
      <c r="AV6" s="407"/>
      <c r="AW6" s="413"/>
      <c r="AX6" s="413"/>
      <c r="AY6" s="413"/>
      <c r="BA6" s="406"/>
      <c r="BB6" s="408"/>
      <c r="BC6" s="407"/>
      <c r="BD6" s="413"/>
      <c r="BE6" s="413"/>
      <c r="BF6" s="413"/>
      <c r="BH6" s="406"/>
      <c r="BI6" s="408"/>
      <c r="BJ6" s="407"/>
      <c r="BK6" s="413"/>
      <c r="BL6" s="413"/>
      <c r="BM6" s="413"/>
      <c r="BO6" s="406"/>
      <c r="BP6" s="408"/>
      <c r="BQ6" s="407"/>
      <c r="BR6" s="413"/>
      <c r="BS6" s="413"/>
      <c r="BT6" s="413"/>
      <c r="BU6" s="530"/>
    </row>
    <row r="7" spans="2:73" ht="12.75">
      <c r="B7" s="102" t="s">
        <v>390</v>
      </c>
      <c r="C7" s="382"/>
      <c r="D7" s="246">
        <f>D30/100/AE4*AF4</f>
        <v>-0.0045000000000000005</v>
      </c>
      <c r="E7" s="247">
        <f>E6*D7</f>
        <v>-0.0047661578299230635</v>
      </c>
      <c r="F7" s="247">
        <f>F6*D7</f>
        <v>-0.0051587656598461274</v>
      </c>
      <c r="G7" s="247">
        <f>G6*D7</f>
        <v>-0.005551373489769191</v>
      </c>
      <c r="H7" s="247">
        <f>H6*D7</f>
        <v>-0.005943981319692255</v>
      </c>
      <c r="I7" s="247">
        <f>I6*D7</f>
        <v>-0.006336589149615319</v>
      </c>
      <c r="J7" s="247">
        <f>J6*D7</f>
        <v>-0.006729196979538383</v>
      </c>
      <c r="K7" s="247">
        <f>K6*D7</f>
        <v>-0.007121804809461447</v>
      </c>
      <c r="L7" s="247">
        <f>L6*D7</f>
        <v>-0.007514412639384511</v>
      </c>
      <c r="M7" s="247">
        <f>M6*D7</f>
        <v>-0.007907020469307576</v>
      </c>
      <c r="N7" s="247">
        <f>N6*D7</f>
        <v>-0.00829962829923064</v>
      </c>
      <c r="O7" s="247">
        <f>O6*D7</f>
        <v>-0.008692236129153704</v>
      </c>
      <c r="P7" s="247">
        <f>P6*D7</f>
        <v>-0.009084843959076768</v>
      </c>
      <c r="Q7" s="247">
        <f>Q6*D7</f>
        <v>-0.009477451788999832</v>
      </c>
      <c r="R7" s="247">
        <f>R6*D7</f>
        <v>-0.009870059618922896</v>
      </c>
      <c r="S7" s="247">
        <f>S6*D7</f>
        <v>-0.01026266744884596</v>
      </c>
      <c r="T7" s="247">
        <f>T6*D7</f>
        <v>-0.010655275278769024</v>
      </c>
      <c r="U7" s="247">
        <f>U6*D7</f>
        <v>-0.011047883108692088</v>
      </c>
      <c r="V7" s="247">
        <f>V6*D7</f>
        <v>-0.011440490938615152</v>
      </c>
      <c r="W7" s="247">
        <f>W6*D7</f>
        <v>-0.011833098768538216</v>
      </c>
      <c r="X7" s="248">
        <f>X6*D7</f>
        <v>-0.01222570659846128</v>
      </c>
      <c r="Y7" s="542"/>
      <c r="Z7" s="4"/>
      <c r="AA7" s="4"/>
      <c r="AB7" s="4"/>
      <c r="AC7" s="543"/>
      <c r="AD7" s="41"/>
      <c r="AE7" s="574">
        <v>10</v>
      </c>
      <c r="AF7" s="557">
        <v>10</v>
      </c>
      <c r="AG7" s="412" t="s">
        <v>224</v>
      </c>
      <c r="AH7" s="409"/>
      <c r="AI7" s="422">
        <f>B21</f>
        <v>11214702.145584777</v>
      </c>
      <c r="AJ7" s="423"/>
      <c r="AK7" s="423"/>
      <c r="AM7" s="406"/>
      <c r="AN7" s="408"/>
      <c r="AO7" s="407"/>
      <c r="AP7" s="422"/>
      <c r="AQ7" s="423"/>
      <c r="AR7" s="423"/>
      <c r="AT7" s="406"/>
      <c r="AU7" s="408"/>
      <c r="AV7" s="407"/>
      <c r="AW7" s="422"/>
      <c r="AX7" s="423"/>
      <c r="AY7" s="423"/>
      <c r="BA7" s="406"/>
      <c r="BB7" s="408"/>
      <c r="BC7" s="407"/>
      <c r="BD7" s="422"/>
      <c r="BE7" s="423"/>
      <c r="BF7" s="423"/>
      <c r="BH7" s="406"/>
      <c r="BI7" s="408"/>
      <c r="BJ7" s="407"/>
      <c r="BK7" s="422"/>
      <c r="BL7" s="423"/>
      <c r="BM7" s="423"/>
      <c r="BO7" s="406"/>
      <c r="BP7" s="408"/>
      <c r="BQ7" s="407"/>
      <c r="BR7" s="422"/>
      <c r="BS7" s="423"/>
      <c r="BT7" s="423"/>
      <c r="BU7" s="530"/>
    </row>
    <row r="8" spans="2:73" ht="13.5">
      <c r="B8" s="101" t="s">
        <v>266</v>
      </c>
      <c r="C8" s="382"/>
      <c r="D8" s="246">
        <f>(100-E30)/(500/AF5*AE5)*-1</f>
        <v>-0.047099999999999996</v>
      </c>
      <c r="E8" s="248">
        <f>E6*D8</f>
        <v>-0.04988578528652805</v>
      </c>
      <c r="F8" s="247">
        <f>F6*D8</f>
        <v>-0.053995080573056124</v>
      </c>
      <c r="G8" s="247">
        <f>G6*D8</f>
        <v>-0.058104375859584195</v>
      </c>
      <c r="H8" s="247">
        <f>H6*D8</f>
        <v>-0.06221367114611226</v>
      </c>
      <c r="I8" s="247">
        <f>I6*D8</f>
        <v>-0.06632296643264034</v>
      </c>
      <c r="J8" s="247">
        <f>J6*D8</f>
        <v>-0.0704322617191684</v>
      </c>
      <c r="K8" s="247">
        <f>K6*D8</f>
        <v>-0.07454155700569647</v>
      </c>
      <c r="L8" s="247">
        <f>L6*D8</f>
        <v>-0.07865085229222454</v>
      </c>
      <c r="M8" s="247">
        <f>M6*D8</f>
        <v>-0.08276014757875261</v>
      </c>
      <c r="N8" s="247">
        <f>N6*D8</f>
        <v>-0.08686944286528067</v>
      </c>
      <c r="O8" s="247">
        <f>O6*D8</f>
        <v>-0.09097873815180875</v>
      </c>
      <c r="P8" s="247">
        <f>P6*D8</f>
        <v>-0.09508803343833681</v>
      </c>
      <c r="Q8" s="247">
        <f>Q6*D8</f>
        <v>-0.09919732872486489</v>
      </c>
      <c r="R8" s="247">
        <f>R6*D8</f>
        <v>-0.10330662401139296</v>
      </c>
      <c r="S8" s="248">
        <f>S6*D8</f>
        <v>-0.10741591929792102</v>
      </c>
      <c r="T8" s="248">
        <f>T6*D8</f>
        <v>-0.1115252145844491</v>
      </c>
      <c r="U8" s="248">
        <f>U6*D8</f>
        <v>-0.11563450987097716</v>
      </c>
      <c r="V8" s="248">
        <f>V6*D8</f>
        <v>-0.11974380515750523</v>
      </c>
      <c r="W8" s="248">
        <f>W6*D8</f>
        <v>-0.1238531004440333</v>
      </c>
      <c r="X8" s="248">
        <f>X6*D8</f>
        <v>-0.12796239573056137</v>
      </c>
      <c r="Y8" s="542"/>
      <c r="Z8" s="6"/>
      <c r="AA8" s="6"/>
      <c r="AB8" s="6"/>
      <c r="AC8" s="544"/>
      <c r="AD8" s="77"/>
      <c r="AE8" s="574">
        <v>10</v>
      </c>
      <c r="AF8" s="557">
        <v>10</v>
      </c>
      <c r="AG8" s="412" t="s">
        <v>300</v>
      </c>
      <c r="AH8" s="409"/>
      <c r="AI8" s="573" t="s">
        <v>305</v>
      </c>
      <c r="AJ8" s="409"/>
      <c r="AK8" s="409"/>
      <c r="AM8" s="406"/>
      <c r="AN8" s="408"/>
      <c r="AO8" s="407"/>
      <c r="AP8" s="413"/>
      <c r="AQ8" s="413"/>
      <c r="AR8" s="413"/>
      <c r="AT8" s="406"/>
      <c r="AU8" s="408"/>
      <c r="AV8" s="407"/>
      <c r="AW8" s="413"/>
      <c r="AX8" s="413"/>
      <c r="AY8" s="413"/>
      <c r="BA8" s="406"/>
      <c r="BB8" s="408"/>
      <c r="BC8" s="407"/>
      <c r="BD8" s="413"/>
      <c r="BE8" s="413"/>
      <c r="BF8" s="413"/>
      <c r="BG8" s="40"/>
      <c r="BH8" s="406"/>
      <c r="BI8" s="408"/>
      <c r="BJ8" s="407"/>
      <c r="BK8" s="413"/>
      <c r="BL8" s="413"/>
      <c r="BM8" s="413"/>
      <c r="BO8" s="406"/>
      <c r="BP8" s="408"/>
      <c r="BQ8" s="407"/>
      <c r="BR8" s="413"/>
      <c r="BS8" s="413"/>
      <c r="BT8" s="413"/>
      <c r="BU8" s="530"/>
    </row>
    <row r="9" spans="2:73" ht="12.75">
      <c r="B9" s="101" t="s">
        <v>422</v>
      </c>
      <c r="D9" s="246">
        <f>(F30/100*-1/AE6*AF6)*2</f>
        <v>-0.0191</v>
      </c>
      <c r="E9" s="247">
        <f>E6*D9</f>
        <v>-0.020229692122562332</v>
      </c>
      <c r="F9" s="247">
        <f>F6*D9</f>
        <v>-0.021896094245124672</v>
      </c>
      <c r="G9" s="247">
        <f>G6*D9</f>
        <v>-0.023562496367687008</v>
      </c>
      <c r="H9" s="247">
        <f>H6*D9</f>
        <v>-0.025228898490249348</v>
      </c>
      <c r="I9" s="247">
        <f>I6*D9</f>
        <v>-0.026895300612811684</v>
      </c>
      <c r="J9" s="247">
        <f>J6*D9</f>
        <v>-0.028561702735374023</v>
      </c>
      <c r="K9" s="247">
        <f>K6*D9</f>
        <v>-0.030228104857936363</v>
      </c>
      <c r="L9" s="247">
        <f>L6*D9</f>
        <v>-0.0318945069804987</v>
      </c>
      <c r="M9" s="247">
        <f>M6*D9</f>
        <v>-0.03356090910306104</v>
      </c>
      <c r="N9" s="247">
        <f>N6*D9</f>
        <v>-0.03522731122562338</v>
      </c>
      <c r="O9" s="247">
        <f>O6*D9</f>
        <v>-0.03689371334818571</v>
      </c>
      <c r="P9" s="247">
        <f>P6*D9</f>
        <v>-0.03856011547074805</v>
      </c>
      <c r="Q9" s="247">
        <f>Q6*D9</f>
        <v>-0.04022651759331039</v>
      </c>
      <c r="R9" s="247">
        <f>R6*D9</f>
        <v>-0.04189291971587273</v>
      </c>
      <c r="S9" s="247">
        <f>S6*D9</f>
        <v>-0.04355932183843507</v>
      </c>
      <c r="T9" s="247">
        <f>T6*D9</f>
        <v>-0.0452257239609974</v>
      </c>
      <c r="U9" s="247">
        <f>U6*D9</f>
        <v>-0.04689212608355974</v>
      </c>
      <c r="V9" s="247">
        <f>V6*D9</f>
        <v>-0.04855852820612208</v>
      </c>
      <c r="W9" s="247">
        <f>W6*D9</f>
        <v>-0.05022493032868442</v>
      </c>
      <c r="X9" s="247">
        <f>X6*D9</f>
        <v>-0.051891332451246754</v>
      </c>
      <c r="Y9" s="542"/>
      <c r="Z9" s="168"/>
      <c r="AA9" s="168"/>
      <c r="AB9" s="168"/>
      <c r="AC9" s="545"/>
      <c r="AE9" s="574">
        <v>10</v>
      </c>
      <c r="AF9" s="557">
        <v>10</v>
      </c>
      <c r="AG9" s="411" t="s">
        <v>202</v>
      </c>
      <c r="AH9" s="411"/>
      <c r="AI9" s="572">
        <f>Y14</f>
        <v>0.5952445170449855</v>
      </c>
      <c r="AJ9" s="563"/>
      <c r="AK9" s="563"/>
      <c r="AM9" s="406"/>
      <c r="AN9" s="408"/>
      <c r="AO9" s="407"/>
      <c r="AP9" s="425"/>
      <c r="AQ9" s="423"/>
      <c r="AR9" s="423"/>
      <c r="AT9" s="406"/>
      <c r="AU9" s="408"/>
      <c r="AV9" s="407"/>
      <c r="AW9" s="425"/>
      <c r="AX9" s="423"/>
      <c r="AY9" s="423"/>
      <c r="BA9" s="406"/>
      <c r="BB9" s="408"/>
      <c r="BC9" s="407"/>
      <c r="BD9" s="425"/>
      <c r="BE9" s="423"/>
      <c r="BF9" s="423"/>
      <c r="BH9" s="406"/>
      <c r="BI9" s="408"/>
      <c r="BJ9" s="407"/>
      <c r="BK9" s="425"/>
      <c r="BL9" s="423"/>
      <c r="BM9" s="423"/>
      <c r="BO9" s="406"/>
      <c r="BP9" s="408"/>
      <c r="BQ9" s="407"/>
      <c r="BR9" s="425"/>
      <c r="BS9" s="423"/>
      <c r="BT9" s="423"/>
      <c r="BU9" s="530"/>
    </row>
    <row r="10" spans="2:73" ht="13.5">
      <c r="B10" s="101" t="s">
        <v>232</v>
      </c>
      <c r="C10" s="382"/>
      <c r="D10" s="263">
        <f>H30/AE7*AF7*-1</f>
        <v>0</v>
      </c>
      <c r="E10" s="247">
        <f>D10</f>
        <v>0</v>
      </c>
      <c r="F10" s="247">
        <f aca="true" t="shared" si="0" ref="F10:X10">E10</f>
        <v>0</v>
      </c>
      <c r="G10" s="247">
        <f t="shared" si="0"/>
        <v>0</v>
      </c>
      <c r="H10" s="247">
        <f t="shared" si="0"/>
        <v>0</v>
      </c>
      <c r="I10" s="247">
        <f t="shared" si="0"/>
        <v>0</v>
      </c>
      <c r="J10" s="247">
        <f t="shared" si="0"/>
        <v>0</v>
      </c>
      <c r="K10" s="247">
        <f t="shared" si="0"/>
        <v>0</v>
      </c>
      <c r="L10" s="247">
        <f t="shared" si="0"/>
        <v>0</v>
      </c>
      <c r="M10" s="247">
        <f t="shared" si="0"/>
        <v>0</v>
      </c>
      <c r="N10" s="247">
        <f t="shared" si="0"/>
        <v>0</v>
      </c>
      <c r="O10" s="247">
        <f t="shared" si="0"/>
        <v>0</v>
      </c>
      <c r="P10" s="247">
        <f t="shared" si="0"/>
        <v>0</v>
      </c>
      <c r="Q10" s="247">
        <f t="shared" si="0"/>
        <v>0</v>
      </c>
      <c r="R10" s="247">
        <f t="shared" si="0"/>
        <v>0</v>
      </c>
      <c r="S10" s="247">
        <f t="shared" si="0"/>
        <v>0</v>
      </c>
      <c r="T10" s="247">
        <f t="shared" si="0"/>
        <v>0</v>
      </c>
      <c r="U10" s="247">
        <f t="shared" si="0"/>
        <v>0</v>
      </c>
      <c r="V10" s="247">
        <f t="shared" si="0"/>
        <v>0</v>
      </c>
      <c r="W10" s="247">
        <f>V10</f>
        <v>0</v>
      </c>
      <c r="X10" s="248">
        <f t="shared" si="0"/>
        <v>0</v>
      </c>
      <c r="Y10" s="542"/>
      <c r="Z10" s="4"/>
      <c r="AA10" s="4"/>
      <c r="AB10" s="4"/>
      <c r="AC10" s="543"/>
      <c r="AD10" s="41"/>
      <c r="AE10" s="574">
        <v>10</v>
      </c>
      <c r="AF10" s="557">
        <v>10</v>
      </c>
      <c r="AG10" s="412" t="s">
        <v>306</v>
      </c>
      <c r="AH10" s="411"/>
      <c r="AI10" s="567" t="s">
        <v>311</v>
      </c>
      <c r="AJ10" s="568"/>
      <c r="AK10" s="568"/>
      <c r="AM10" s="406"/>
      <c r="AN10" s="408"/>
      <c r="AO10" s="407"/>
      <c r="AP10" s="413"/>
      <c r="AQ10" s="413"/>
      <c r="AR10" s="413"/>
      <c r="AT10" s="406"/>
      <c r="AU10" s="408"/>
      <c r="AV10" s="407"/>
      <c r="AW10" s="413"/>
      <c r="AX10" s="413"/>
      <c r="AY10" s="413"/>
      <c r="BA10" s="406"/>
      <c r="BB10" s="408"/>
      <c r="BC10" s="407"/>
      <c r="BD10" s="413"/>
      <c r="BE10" s="413"/>
      <c r="BF10" s="413"/>
      <c r="BH10" s="406"/>
      <c r="BI10" s="408"/>
      <c r="BJ10" s="407"/>
      <c r="BK10" s="413"/>
      <c r="BL10" s="413"/>
      <c r="BM10" s="413"/>
      <c r="BO10" s="406"/>
      <c r="BP10" s="408"/>
      <c r="BQ10" s="407"/>
      <c r="BR10" s="413"/>
      <c r="BS10" s="413"/>
      <c r="BT10" s="413"/>
      <c r="BU10" s="530"/>
    </row>
    <row r="11" spans="2:73" ht="14.25">
      <c r="B11" s="112" t="s">
        <v>291</v>
      </c>
      <c r="C11" s="113"/>
      <c r="E11" s="249">
        <f aca="true" t="shared" si="1" ref="E11:X11">SUM(E6:E10)</f>
        <v>0.9842645491883341</v>
      </c>
      <c r="F11" s="249">
        <f t="shared" si="1"/>
        <v>1.065342428376668</v>
      </c>
      <c r="G11" s="249">
        <f t="shared" si="1"/>
        <v>1.146420307565002</v>
      </c>
      <c r="H11" s="249">
        <f t="shared" si="1"/>
        <v>1.227498186753336</v>
      </c>
      <c r="I11" s="249">
        <f t="shared" si="1"/>
        <v>1.3085760659416703</v>
      </c>
      <c r="J11" s="249">
        <f t="shared" si="1"/>
        <v>1.3896539451300043</v>
      </c>
      <c r="K11" s="249">
        <f t="shared" si="1"/>
        <v>1.4707318243183385</v>
      </c>
      <c r="L11" s="249">
        <f t="shared" si="1"/>
        <v>1.5518097035066725</v>
      </c>
      <c r="M11" s="249">
        <f t="shared" si="1"/>
        <v>1.6328875826950064</v>
      </c>
      <c r="N11" s="249">
        <f t="shared" si="1"/>
        <v>1.7139654618833404</v>
      </c>
      <c r="O11" s="249">
        <f t="shared" si="1"/>
        <v>1.7950433410716746</v>
      </c>
      <c r="P11" s="249">
        <f t="shared" si="1"/>
        <v>1.8761212202600086</v>
      </c>
      <c r="Q11" s="249">
        <f t="shared" si="1"/>
        <v>1.9571990994483428</v>
      </c>
      <c r="R11" s="249">
        <f t="shared" si="1"/>
        <v>2.038276978636677</v>
      </c>
      <c r="S11" s="249">
        <f t="shared" si="1"/>
        <v>2.119354857825011</v>
      </c>
      <c r="T11" s="249">
        <f t="shared" si="1"/>
        <v>2.200432737013345</v>
      </c>
      <c r="U11" s="249">
        <f t="shared" si="1"/>
        <v>2.2815106162016794</v>
      </c>
      <c r="V11" s="249">
        <f t="shared" si="1"/>
        <v>2.362588495390013</v>
      </c>
      <c r="W11" s="249">
        <f t="shared" si="1"/>
        <v>2.4436663745783473</v>
      </c>
      <c r="X11" s="251">
        <f t="shared" si="1"/>
        <v>2.524744253766681</v>
      </c>
      <c r="Y11" s="542"/>
      <c r="Z11" s="6"/>
      <c r="AA11" s="6"/>
      <c r="AB11" s="6"/>
      <c r="AC11" s="544"/>
      <c r="AD11" s="77"/>
      <c r="AE11" s="574">
        <v>10</v>
      </c>
      <c r="AF11" s="557">
        <v>10</v>
      </c>
      <c r="AG11" s="411" t="s">
        <v>229</v>
      </c>
      <c r="AH11" s="411"/>
      <c r="AI11" s="410">
        <f>B25</f>
        <v>0.4857106811886588</v>
      </c>
      <c r="AJ11" s="563"/>
      <c r="AK11" s="563"/>
      <c r="AM11" s="406"/>
      <c r="AN11" s="408"/>
      <c r="AO11" s="407"/>
      <c r="AP11" s="410"/>
      <c r="AQ11" s="423"/>
      <c r="AR11" s="423"/>
      <c r="AT11" s="406"/>
      <c r="AU11" s="408"/>
      <c r="AV11" s="407"/>
      <c r="AW11" s="410"/>
      <c r="AX11" s="423"/>
      <c r="AY11" s="423"/>
      <c r="BA11" s="406"/>
      <c r="BB11" s="408"/>
      <c r="BC11" s="407"/>
      <c r="BD11" s="410"/>
      <c r="BE11" s="423"/>
      <c r="BF11" s="423"/>
      <c r="BH11" s="406"/>
      <c r="BI11" s="408"/>
      <c r="BJ11" s="407"/>
      <c r="BK11" s="410"/>
      <c r="BL11" s="423"/>
      <c r="BM11" s="423"/>
      <c r="BO11" s="406"/>
      <c r="BP11" s="408"/>
      <c r="BQ11" s="407"/>
      <c r="BR11" s="410"/>
      <c r="BS11" s="423"/>
      <c r="BT11" s="423"/>
      <c r="BU11" s="530"/>
    </row>
    <row r="12" spans="1:73" ht="12.75">
      <c r="A12" s="1"/>
      <c r="B12" s="383"/>
      <c r="C12" s="383"/>
      <c r="E12" s="1"/>
      <c r="F12" s="1"/>
      <c r="G12" s="1"/>
      <c r="H12" s="1"/>
      <c r="I12" s="1"/>
      <c r="J12" s="1"/>
      <c r="K12" s="1"/>
      <c r="L12" s="134"/>
      <c r="M12" s="134"/>
      <c r="N12" s="134" t="s">
        <v>213</v>
      </c>
      <c r="O12" s="134" t="s">
        <v>213</v>
      </c>
      <c r="P12" s="134" t="s">
        <v>213</v>
      </c>
      <c r="Q12" s="134" t="s">
        <v>213</v>
      </c>
      <c r="R12" s="134" t="s">
        <v>213</v>
      </c>
      <c r="S12" s="134" t="s">
        <v>213</v>
      </c>
      <c r="T12" s="134" t="s">
        <v>213</v>
      </c>
      <c r="U12" s="134" t="s">
        <v>213</v>
      </c>
      <c r="V12" s="134" t="s">
        <v>213</v>
      </c>
      <c r="W12" s="134" t="s">
        <v>213</v>
      </c>
      <c r="X12" s="417" t="s">
        <v>213</v>
      </c>
      <c r="Y12" s="542"/>
      <c r="Z12" s="41"/>
      <c r="AA12" s="41"/>
      <c r="AB12" s="41"/>
      <c r="AC12" s="546"/>
      <c r="AD12" s="41"/>
      <c r="AE12" s="574">
        <v>10</v>
      </c>
      <c r="AF12" s="557">
        <v>10</v>
      </c>
      <c r="AG12" s="412" t="s">
        <v>299</v>
      </c>
      <c r="AH12" s="409"/>
      <c r="AI12" s="566"/>
      <c r="AJ12" s="409"/>
      <c r="AK12" s="409"/>
      <c r="AM12" s="406"/>
      <c r="AN12" s="408"/>
      <c r="AO12" s="407"/>
      <c r="AP12" s="413"/>
      <c r="AQ12" s="413"/>
      <c r="AR12" s="413"/>
      <c r="AT12" s="406"/>
      <c r="AU12" s="408"/>
      <c r="AV12" s="407"/>
      <c r="AW12" s="413"/>
      <c r="AX12" s="413"/>
      <c r="AY12" s="413"/>
      <c r="BA12" s="406"/>
      <c r="BB12" s="408"/>
      <c r="BC12" s="407"/>
      <c r="BD12" s="413"/>
      <c r="BE12" s="413"/>
      <c r="BF12" s="413"/>
      <c r="BH12" s="406"/>
      <c r="BI12" s="408"/>
      <c r="BJ12" s="407"/>
      <c r="BK12" s="413"/>
      <c r="BL12" s="413"/>
      <c r="BM12" s="413"/>
      <c r="BO12" s="406"/>
      <c r="BP12" s="408"/>
      <c r="BQ12" s="407"/>
      <c r="BR12" s="413"/>
      <c r="BS12" s="413"/>
      <c r="BT12" s="413"/>
      <c r="BU12" s="530"/>
    </row>
    <row r="13" spans="1:73" ht="14.25">
      <c r="A13" s="39"/>
      <c r="B13" s="112" t="s">
        <v>250</v>
      </c>
      <c r="C13" s="112"/>
      <c r="E13" s="250">
        <f aca="true" t="shared" si="2" ref="E13:J13">K30</f>
        <v>1.033</v>
      </c>
      <c r="F13" s="250">
        <f t="shared" si="2"/>
        <v>1.141</v>
      </c>
      <c r="G13" s="250">
        <f t="shared" si="2"/>
        <v>1.212</v>
      </c>
      <c r="H13" s="250">
        <f t="shared" si="2"/>
        <v>1.374</v>
      </c>
      <c r="I13" s="250">
        <f t="shared" si="2"/>
        <v>1.429</v>
      </c>
      <c r="J13" s="250">
        <f t="shared" si="2"/>
        <v>1.528</v>
      </c>
      <c r="K13" s="251">
        <f>K11</f>
        <v>1.4707318243183385</v>
      </c>
      <c r="L13" s="251">
        <f>L11</f>
        <v>1.5518097035066725</v>
      </c>
      <c r="M13" s="251">
        <f>M11</f>
        <v>1.6328875826950064</v>
      </c>
      <c r="N13" s="251">
        <f>N11</f>
        <v>1.7139654618833404</v>
      </c>
      <c r="O13" s="251">
        <f>O11</f>
        <v>1.7950433410716746</v>
      </c>
      <c r="P13" s="251">
        <f aca="true" t="shared" si="3" ref="P13:X13">P11</f>
        <v>1.8761212202600086</v>
      </c>
      <c r="Q13" s="251">
        <f t="shared" si="3"/>
        <v>1.9571990994483428</v>
      </c>
      <c r="R13" s="251">
        <f t="shared" si="3"/>
        <v>2.038276978636677</v>
      </c>
      <c r="S13" s="251">
        <f t="shared" si="3"/>
        <v>2.119354857825011</v>
      </c>
      <c r="T13" s="251">
        <f t="shared" si="3"/>
        <v>2.200432737013345</v>
      </c>
      <c r="U13" s="251">
        <f t="shared" si="3"/>
        <v>2.2815106162016794</v>
      </c>
      <c r="V13" s="251">
        <f t="shared" si="3"/>
        <v>2.362588495390013</v>
      </c>
      <c r="W13" s="251">
        <f t="shared" si="3"/>
        <v>2.4436663745783473</v>
      </c>
      <c r="X13" s="251">
        <f t="shared" si="3"/>
        <v>2.524744253766681</v>
      </c>
      <c r="Y13" s="547"/>
      <c r="Z13" s="41"/>
      <c r="AA13" s="4"/>
      <c r="AB13" s="4"/>
      <c r="AC13" s="543"/>
      <c r="AD13" s="41"/>
      <c r="AE13" s="575">
        <v>10.4856392626</v>
      </c>
      <c r="AF13" s="557">
        <v>10</v>
      </c>
      <c r="AG13" s="412" t="s">
        <v>304</v>
      </c>
      <c r="AH13" s="409"/>
      <c r="AI13" s="566"/>
      <c r="AJ13" s="560"/>
      <c r="AK13" s="560"/>
      <c r="AM13" s="406"/>
      <c r="AN13" s="406"/>
      <c r="AO13" s="532"/>
      <c r="AP13" s="533"/>
      <c r="AQ13" s="406"/>
      <c r="AR13" s="406"/>
      <c r="AS13" s="31"/>
      <c r="AT13" s="406"/>
      <c r="AU13" s="406"/>
      <c r="AV13" s="532"/>
      <c r="AW13" s="533"/>
      <c r="AX13" s="406"/>
      <c r="AY13" s="406"/>
      <c r="AZ13" s="31"/>
      <c r="BA13" s="406"/>
      <c r="BB13" s="406"/>
      <c r="BC13" s="532"/>
      <c r="BD13" s="533"/>
      <c r="BE13" s="406"/>
      <c r="BF13" s="406"/>
      <c r="BG13" s="31"/>
      <c r="BH13" s="406"/>
      <c r="BI13" s="406"/>
      <c r="BJ13" s="532"/>
      <c r="BK13" s="533"/>
      <c r="BL13" s="406"/>
      <c r="BM13" s="406"/>
      <c r="BN13" s="31"/>
      <c r="BO13" s="406"/>
      <c r="BP13" s="406"/>
      <c r="BQ13" s="532"/>
      <c r="BR13" s="533"/>
      <c r="BS13" s="406"/>
      <c r="BT13" s="406"/>
      <c r="BU13" s="530"/>
    </row>
    <row r="14" spans="1:38" ht="13.5">
      <c r="A14" s="39"/>
      <c r="B14" s="101" t="s">
        <v>216</v>
      </c>
      <c r="C14" s="384"/>
      <c r="E14" s="248">
        <f aca="true" t="shared" si="4" ref="E14:X14">E13-E11</f>
        <v>0.04873545081166586</v>
      </c>
      <c r="F14" s="248">
        <f t="shared" si="4"/>
        <v>0.07565757162333209</v>
      </c>
      <c r="G14" s="248">
        <f t="shared" si="4"/>
        <v>0.06557969243499806</v>
      </c>
      <c r="H14" s="248">
        <f t="shared" si="4"/>
        <v>0.146501813246664</v>
      </c>
      <c r="I14" s="248">
        <f t="shared" si="4"/>
        <v>0.12042393405832974</v>
      </c>
      <c r="J14" s="248">
        <f t="shared" si="4"/>
        <v>0.13834605486999574</v>
      </c>
      <c r="K14" s="248">
        <f t="shared" si="4"/>
        <v>0</v>
      </c>
      <c r="L14" s="248">
        <f t="shared" si="4"/>
        <v>0</v>
      </c>
      <c r="M14" s="248">
        <f t="shared" si="4"/>
        <v>0</v>
      </c>
      <c r="N14" s="248">
        <f t="shared" si="4"/>
        <v>0</v>
      </c>
      <c r="O14" s="248">
        <f t="shared" si="4"/>
        <v>0</v>
      </c>
      <c r="P14" s="248">
        <f t="shared" si="4"/>
        <v>0</v>
      </c>
      <c r="Q14" s="248">
        <f t="shared" si="4"/>
        <v>0</v>
      </c>
      <c r="R14" s="248">
        <f t="shared" si="4"/>
        <v>0</v>
      </c>
      <c r="S14" s="248">
        <f t="shared" si="4"/>
        <v>0</v>
      </c>
      <c r="T14" s="248">
        <f t="shared" si="4"/>
        <v>0</v>
      </c>
      <c r="U14" s="248">
        <f t="shared" si="4"/>
        <v>0</v>
      </c>
      <c r="V14" s="248">
        <f t="shared" si="4"/>
        <v>0</v>
      </c>
      <c r="W14" s="248">
        <f t="shared" si="4"/>
        <v>0</v>
      </c>
      <c r="X14" s="248">
        <f t="shared" si="4"/>
        <v>0</v>
      </c>
      <c r="Y14" s="548">
        <f>SUM(E14:X14)</f>
        <v>0.5952445170449855</v>
      </c>
      <c r="Z14" s="419" t="s">
        <v>307</v>
      </c>
      <c r="AA14" s="92"/>
      <c r="AB14" s="22"/>
      <c r="AC14" s="549"/>
      <c r="AD14" s="132"/>
      <c r="AE14" s="394"/>
      <c r="AF14" s="395"/>
      <c r="AG14" s="41"/>
      <c r="AH14" s="41"/>
      <c r="AI14" s="41"/>
      <c r="AJ14" s="41"/>
      <c r="AK14" s="41"/>
      <c r="AL14" s="402"/>
    </row>
    <row r="15" spans="1:72" ht="12.75">
      <c r="A15" s="1"/>
      <c r="B15" s="102"/>
      <c r="C15" s="382"/>
      <c r="D15" s="390" t="s">
        <v>294</v>
      </c>
      <c r="E15" s="133"/>
      <c r="F15" s="133"/>
      <c r="G15" s="133"/>
      <c r="H15" s="133"/>
      <c r="I15" s="133"/>
      <c r="J15" s="133"/>
      <c r="K15" s="133"/>
      <c r="L15" s="133"/>
      <c r="M15" s="133"/>
      <c r="N15" s="133"/>
      <c r="O15" s="133"/>
      <c r="P15" s="133"/>
      <c r="Q15" s="133"/>
      <c r="R15" s="133"/>
      <c r="S15" s="132"/>
      <c r="T15" s="132"/>
      <c r="U15" s="132"/>
      <c r="V15" s="132"/>
      <c r="W15" s="132"/>
      <c r="X15" s="30"/>
      <c r="Y15" s="550"/>
      <c r="Z15" s="41"/>
      <c r="AA15" s="52"/>
      <c r="AB15" s="4"/>
      <c r="AC15" s="543"/>
      <c r="AD15" s="41"/>
      <c r="AE15" s="41"/>
      <c r="AF15" s="41"/>
      <c r="AG15" s="41"/>
      <c r="AH15" s="41"/>
      <c r="AI15" s="41"/>
      <c r="AJ15" s="41"/>
      <c r="AK15" s="41"/>
      <c r="AL15" s="402"/>
      <c r="AM15" s="414"/>
      <c r="AN15" s="415"/>
      <c r="AO15" s="416"/>
      <c r="AP15" s="414"/>
      <c r="AQ15" s="414"/>
      <c r="AR15" s="414"/>
      <c r="AS15" s="31"/>
      <c r="AT15" s="414"/>
      <c r="AU15" s="415"/>
      <c r="AV15" s="416"/>
      <c r="AW15" s="414"/>
      <c r="AX15" s="414"/>
      <c r="AY15" s="414"/>
      <c r="AZ15" s="31"/>
      <c r="BA15" s="414"/>
      <c r="BB15" s="415"/>
      <c r="BC15" s="416"/>
      <c r="BD15" s="414"/>
      <c r="BE15" s="414"/>
      <c r="BF15" s="414"/>
      <c r="BG15" s="31"/>
      <c r="BH15" s="414"/>
      <c r="BI15" s="415"/>
      <c r="BJ15" s="416"/>
      <c r="BK15" s="414"/>
      <c r="BL15" s="414"/>
      <c r="BM15" s="414"/>
      <c r="BN15" s="31"/>
      <c r="BO15" s="414"/>
      <c r="BP15" s="415"/>
      <c r="BQ15" s="416"/>
      <c r="BR15" s="414"/>
      <c r="BS15" s="414"/>
      <c r="BT15" s="414"/>
    </row>
    <row r="16" spans="1:72" ht="12.75">
      <c r="A16" s="660" t="s">
        <v>249</v>
      </c>
      <c r="B16" s="102" t="s">
        <v>273</v>
      </c>
      <c r="C16" s="382"/>
      <c r="D16" s="111">
        <f>(I30/AE12*AF12*(E2/AE8*AF8)*H2/AE9*AF9/15000)</f>
        <v>6.296957333333334</v>
      </c>
      <c r="E16" s="264">
        <f>E14*D16</f>
        <v>0.30688505438182534</v>
      </c>
      <c r="F16" s="264">
        <f>F14*D16</f>
        <v>0.47641250045573297</v>
      </c>
      <c r="G16" s="264">
        <f>G14*D16</f>
        <v>0.4129525251963056</v>
      </c>
      <c r="H16" s="264">
        <f>H14*D16</f>
        <v>0.9225156672702115</v>
      </c>
      <c r="I16" s="264">
        <f>I14*D16</f>
        <v>0.7583043746774493</v>
      </c>
      <c r="J16" s="264">
        <f>J14*D16</f>
        <v>0.8711592047513554</v>
      </c>
      <c r="K16" s="265">
        <f>K14*D16</f>
        <v>0</v>
      </c>
      <c r="L16" s="265">
        <f>L14*D16</f>
        <v>0</v>
      </c>
      <c r="M16" s="265">
        <f>M14*D16</f>
        <v>0</v>
      </c>
      <c r="N16" s="265">
        <f>N14*D16</f>
        <v>0</v>
      </c>
      <c r="O16" s="265">
        <f>O14*D16</f>
        <v>0</v>
      </c>
      <c r="P16" s="265">
        <f>P14*D16</f>
        <v>0</v>
      </c>
      <c r="Q16" s="265">
        <f>Q14*D16</f>
        <v>0</v>
      </c>
      <c r="R16" s="265">
        <f>R14*D16</f>
        <v>0</v>
      </c>
      <c r="S16" s="266">
        <f>S14*D16</f>
        <v>0</v>
      </c>
      <c r="T16" s="266">
        <f>T14*D16</f>
        <v>0</v>
      </c>
      <c r="U16" s="266">
        <f>U14*D16</f>
        <v>0</v>
      </c>
      <c r="V16" s="266">
        <f>V14*D16</f>
        <v>0</v>
      </c>
      <c r="W16" s="266">
        <f>W14*D16</f>
        <v>0</v>
      </c>
      <c r="X16" s="266">
        <f>X14*D16</f>
        <v>0</v>
      </c>
      <c r="Y16" s="551"/>
      <c r="Z16" s="4"/>
      <c r="AA16" s="52"/>
      <c r="AB16" s="4"/>
      <c r="AC16" s="543"/>
      <c r="AD16" s="41"/>
      <c r="AE16" s="41"/>
      <c r="AF16" s="41"/>
      <c r="AG16" s="3"/>
      <c r="AH16" s="3"/>
      <c r="AI16" s="3"/>
      <c r="AJ16" s="41"/>
      <c r="AK16" s="3"/>
      <c r="AL16" s="347"/>
      <c r="AM16" s="406"/>
      <c r="AN16" s="408"/>
      <c r="AO16" s="407"/>
      <c r="AP16" s="413"/>
      <c r="AQ16" s="413"/>
      <c r="AR16" s="413"/>
      <c r="AT16" s="406"/>
      <c r="AU16" s="408"/>
      <c r="AV16" s="407"/>
      <c r="AW16" s="413"/>
      <c r="AX16" s="413"/>
      <c r="AY16" s="413"/>
      <c r="BA16" s="406"/>
      <c r="BB16" s="408"/>
      <c r="BC16" s="407"/>
      <c r="BD16" s="413"/>
      <c r="BE16" s="413"/>
      <c r="BF16" s="413"/>
      <c r="BH16" s="406"/>
      <c r="BI16" s="408"/>
      <c r="BJ16" s="407"/>
      <c r="BK16" s="413"/>
      <c r="BL16" s="413"/>
      <c r="BM16" s="413"/>
      <c r="BO16" s="406"/>
      <c r="BP16" s="408"/>
      <c r="BQ16" s="407"/>
      <c r="BR16" s="413"/>
      <c r="BS16" s="413"/>
      <c r="BT16" s="413"/>
    </row>
    <row r="17" spans="1:72" ht="13.5" thickBot="1">
      <c r="A17" s="661">
        <f>'gæld 2005'!G160/1000000000</f>
        <v>789.5373043414121</v>
      </c>
      <c r="B17" s="102" t="s">
        <v>274</v>
      </c>
      <c r="C17" s="15"/>
      <c r="E17" s="264">
        <f>E16</f>
        <v>0.30688505438182534</v>
      </c>
      <c r="F17" s="264">
        <f aca="true" t="shared" si="5" ref="F17:S17">F16+E17</f>
        <v>0.7832975548375583</v>
      </c>
      <c r="G17" s="264">
        <f t="shared" si="5"/>
        <v>1.1962500800338638</v>
      </c>
      <c r="H17" s="264">
        <f t="shared" si="5"/>
        <v>2.1187657473040753</v>
      </c>
      <c r="I17" s="264">
        <f t="shared" si="5"/>
        <v>2.8770701219815247</v>
      </c>
      <c r="J17" s="267">
        <f t="shared" si="5"/>
        <v>3.74822932673288</v>
      </c>
      <c r="K17" s="265">
        <f t="shared" si="5"/>
        <v>3.74822932673288</v>
      </c>
      <c r="L17" s="265">
        <f t="shared" si="5"/>
        <v>3.74822932673288</v>
      </c>
      <c r="M17" s="265">
        <f t="shared" si="5"/>
        <v>3.74822932673288</v>
      </c>
      <c r="N17" s="265">
        <f t="shared" si="5"/>
        <v>3.74822932673288</v>
      </c>
      <c r="O17" s="265">
        <f t="shared" si="5"/>
        <v>3.74822932673288</v>
      </c>
      <c r="P17" s="265">
        <f t="shared" si="5"/>
        <v>3.74822932673288</v>
      </c>
      <c r="Q17" s="265">
        <f t="shared" si="5"/>
        <v>3.74822932673288</v>
      </c>
      <c r="R17" s="266">
        <f t="shared" si="5"/>
        <v>3.74822932673288</v>
      </c>
      <c r="S17" s="265">
        <f t="shared" si="5"/>
        <v>3.74822932673288</v>
      </c>
      <c r="T17" s="266">
        <f>T16+S17</f>
        <v>3.74822932673288</v>
      </c>
      <c r="U17" s="265">
        <f>U16+T17</f>
        <v>3.74822932673288</v>
      </c>
      <c r="V17" s="266">
        <f>V16+U17</f>
        <v>3.74822932673288</v>
      </c>
      <c r="W17" s="266">
        <f>W16+V17</f>
        <v>3.74822932673288</v>
      </c>
      <c r="X17" s="418">
        <f>X16+W17</f>
        <v>3.74822932673288</v>
      </c>
      <c r="Y17" s="552"/>
      <c r="Z17" s="553"/>
      <c r="AA17" s="554"/>
      <c r="AB17" s="553"/>
      <c r="AC17" s="555"/>
      <c r="AD17" s="41"/>
      <c r="AE17" s="3"/>
      <c r="AF17" s="133"/>
      <c r="AG17" s="3"/>
      <c r="AH17" s="3"/>
      <c r="AI17" s="3"/>
      <c r="AJ17" s="3"/>
      <c r="AK17" s="3"/>
      <c r="AL17" s="347"/>
      <c r="AM17" s="406"/>
      <c r="AN17" s="408"/>
      <c r="AO17" s="407"/>
      <c r="AP17" s="410"/>
      <c r="AQ17" s="424"/>
      <c r="AR17" s="424"/>
      <c r="AT17" s="406"/>
      <c r="AU17" s="408"/>
      <c r="AV17" s="407"/>
      <c r="AW17" s="410"/>
      <c r="AX17" s="424"/>
      <c r="AY17" s="424"/>
      <c r="BA17" s="406"/>
      <c r="BB17" s="408"/>
      <c r="BC17" s="407"/>
      <c r="BD17" s="410"/>
      <c r="BE17" s="424"/>
      <c r="BF17" s="424"/>
      <c r="BH17" s="406"/>
      <c r="BI17" s="408"/>
      <c r="BJ17" s="407"/>
      <c r="BK17" s="410"/>
      <c r="BL17" s="424"/>
      <c r="BM17" s="424"/>
      <c r="BO17" s="406"/>
      <c r="BP17" s="408"/>
      <c r="BQ17" s="407"/>
      <c r="BR17" s="410"/>
      <c r="BS17" s="424"/>
      <c r="BT17" s="424"/>
    </row>
    <row r="18" spans="1:72" ht="12.75">
      <c r="A18" s="1"/>
      <c r="B18" s="1"/>
      <c r="C18" s="78"/>
      <c r="D18" s="1"/>
      <c r="E18" s="1"/>
      <c r="F18" s="1"/>
      <c r="G18" s="1"/>
      <c r="H18" s="1"/>
      <c r="I18" s="1"/>
      <c r="J18" s="1"/>
      <c r="K18" s="1"/>
      <c r="L18" s="1"/>
      <c r="M18" s="1"/>
      <c r="N18" s="1"/>
      <c r="O18" s="1"/>
      <c r="P18" s="1"/>
      <c r="Q18" s="1"/>
      <c r="R18" s="1"/>
      <c r="S18" s="1"/>
      <c r="T18" s="1"/>
      <c r="U18" s="1"/>
      <c r="V18" s="1"/>
      <c r="W18" s="1"/>
      <c r="X18" s="1"/>
      <c r="Z18" s="420" t="s">
        <v>308</v>
      </c>
      <c r="AA18" s="26"/>
      <c r="AB18" s="26"/>
      <c r="AC18" s="38"/>
      <c r="AD18" s="38"/>
      <c r="AE18" s="3"/>
      <c r="AF18" s="3"/>
      <c r="AG18" s="3"/>
      <c r="AH18" s="3"/>
      <c r="AI18" s="3"/>
      <c r="AJ18" s="3"/>
      <c r="AK18" s="3"/>
      <c r="AL18" s="347"/>
      <c r="AM18" s="406"/>
      <c r="AN18" s="408"/>
      <c r="AO18" s="407"/>
      <c r="AP18" s="413"/>
      <c r="AQ18" s="413"/>
      <c r="AR18" s="413"/>
      <c r="AT18" s="406"/>
      <c r="AU18" s="408"/>
      <c r="AV18" s="407"/>
      <c r="AW18" s="413"/>
      <c r="AX18" s="413"/>
      <c r="AY18" s="413"/>
      <c r="BA18" s="406"/>
      <c r="BB18" s="408"/>
      <c r="BC18" s="407"/>
      <c r="BD18" s="413"/>
      <c r="BE18" s="413"/>
      <c r="BF18" s="413"/>
      <c r="BH18" s="406"/>
      <c r="BI18" s="408"/>
      <c r="BJ18" s="407"/>
      <c r="BK18" s="413"/>
      <c r="BL18" s="413"/>
      <c r="BM18" s="413"/>
      <c r="BO18" s="406"/>
      <c r="BP18" s="408"/>
      <c r="BQ18" s="407"/>
      <c r="BR18" s="413"/>
      <c r="BS18" s="413"/>
      <c r="BT18" s="413"/>
    </row>
    <row r="19" spans="1:72" ht="12.75">
      <c r="A19" s="319" t="str">
        <f>A30</f>
        <v>Albania</v>
      </c>
      <c r="B19" s="255">
        <v>2005</v>
      </c>
      <c r="C19" s="177">
        <v>2019</v>
      </c>
      <c r="D19" s="1"/>
      <c r="E19" s="1"/>
      <c r="F19" s="268" t="s">
        <v>200</v>
      </c>
      <c r="G19" s="133">
        <f>C30</f>
        <v>0.9718999999999998</v>
      </c>
      <c r="H19" s="3"/>
      <c r="I19" s="1"/>
      <c r="K19" s="1"/>
      <c r="L19" s="426"/>
      <c r="M19" s="426"/>
      <c r="N19" s="41"/>
      <c r="O19" s="41"/>
      <c r="P19" s="41"/>
      <c r="Q19" s="41"/>
      <c r="R19" s="41"/>
      <c r="S19" s="3"/>
      <c r="T19" s="42"/>
      <c r="U19" s="42"/>
      <c r="V19" s="42"/>
      <c r="W19" s="38"/>
      <c r="X19" s="38"/>
      <c r="Y19" s="182"/>
      <c r="Z19" s="183"/>
      <c r="AA19" s="74"/>
      <c r="AB19" s="38"/>
      <c r="AC19" s="38"/>
      <c r="AD19" s="38"/>
      <c r="AE19" s="3"/>
      <c r="AF19" s="3"/>
      <c r="AK19" s="3"/>
      <c r="AL19" s="347"/>
      <c r="AM19" s="406"/>
      <c r="AN19" s="408"/>
      <c r="AO19" s="407"/>
      <c r="AP19" s="422"/>
      <c r="AQ19" s="423"/>
      <c r="AR19" s="423"/>
      <c r="AT19" s="406"/>
      <c r="AU19" s="408"/>
      <c r="AV19" s="407"/>
      <c r="AW19" s="422"/>
      <c r="AX19" s="423"/>
      <c r="AY19" s="423"/>
      <c r="BA19" s="406"/>
      <c r="BB19" s="408"/>
      <c r="BC19" s="407"/>
      <c r="BD19" s="422"/>
      <c r="BE19" s="423"/>
      <c r="BF19" s="423"/>
      <c r="BH19" s="406"/>
      <c r="BI19" s="408"/>
      <c r="BJ19" s="407"/>
      <c r="BK19" s="422"/>
      <c r="BL19" s="423"/>
      <c r="BM19" s="423"/>
      <c r="BO19" s="406"/>
      <c r="BP19" s="408"/>
      <c r="BQ19" s="407"/>
      <c r="BR19" s="422"/>
      <c r="BS19" s="423"/>
      <c r="BT19" s="423"/>
    </row>
    <row r="20" spans="1:72" ht="12.75">
      <c r="A20" s="256" t="s">
        <v>272</v>
      </c>
      <c r="B20" s="257">
        <f>J17</f>
        <v>3.74822932673288</v>
      </c>
      <c r="C20" s="178">
        <f>X17</f>
        <v>3.74822932673288</v>
      </c>
      <c r="D20" s="6"/>
      <c r="E20" s="11"/>
      <c r="F20" s="268" t="s">
        <v>394</v>
      </c>
      <c r="G20" s="133">
        <f>H20/6</f>
        <v>1.2861666666666667</v>
      </c>
      <c r="H20" s="66">
        <f>E13+F13+G13+H13+I13+J13</f>
        <v>7.7170000000000005</v>
      </c>
      <c r="I20" s="1"/>
      <c r="K20" s="44"/>
      <c r="L20" s="427">
        <v>2000</v>
      </c>
      <c r="M20" s="427">
        <v>2001</v>
      </c>
      <c r="N20" s="161">
        <v>2002</v>
      </c>
      <c r="O20" s="161">
        <v>2003</v>
      </c>
      <c r="P20" s="161">
        <v>2004</v>
      </c>
      <c r="Q20" s="161">
        <v>2005</v>
      </c>
      <c r="R20" s="161">
        <v>2006</v>
      </c>
      <c r="S20" s="161">
        <v>2007</v>
      </c>
      <c r="T20" s="36">
        <v>2008</v>
      </c>
      <c r="U20" s="36">
        <v>2009</v>
      </c>
      <c r="V20" s="36">
        <v>2010</v>
      </c>
      <c r="W20" s="36">
        <v>2011</v>
      </c>
      <c r="X20" s="36">
        <v>2012</v>
      </c>
      <c r="Y20" s="36">
        <v>2013</v>
      </c>
      <c r="Z20" s="36">
        <v>2014</v>
      </c>
      <c r="AA20" s="36">
        <v>2015</v>
      </c>
      <c r="AB20" s="36">
        <v>2016</v>
      </c>
      <c r="AC20" s="36">
        <v>2017</v>
      </c>
      <c r="AD20" s="36">
        <v>2018</v>
      </c>
      <c r="AE20" s="36">
        <v>2019</v>
      </c>
      <c r="AK20" s="3"/>
      <c r="AL20" s="347"/>
      <c r="AM20" s="406"/>
      <c r="AN20" s="408"/>
      <c r="AO20" s="407"/>
      <c r="AP20" s="413"/>
      <c r="AQ20" s="413"/>
      <c r="AR20" s="413"/>
      <c r="AT20" s="406"/>
      <c r="AU20" s="408"/>
      <c r="AV20" s="407"/>
      <c r="AW20" s="413"/>
      <c r="AX20" s="413"/>
      <c r="AY20" s="413"/>
      <c r="BA20" s="406"/>
      <c r="BB20" s="408"/>
      <c r="BC20" s="407"/>
      <c r="BD20" s="413"/>
      <c r="BE20" s="413"/>
      <c r="BF20" s="413"/>
      <c r="BH20" s="406"/>
      <c r="BI20" s="408"/>
      <c r="BJ20" s="407"/>
      <c r="BK20" s="413"/>
      <c r="BL20" s="413"/>
      <c r="BM20" s="413"/>
      <c r="BO20" s="406"/>
      <c r="BP20" s="408"/>
      <c r="BQ20" s="407"/>
      <c r="BR20" s="413"/>
      <c r="BS20" s="413"/>
      <c r="BT20" s="413"/>
    </row>
    <row r="21" spans="1:72" ht="12.75">
      <c r="A21" s="256" t="s">
        <v>293</v>
      </c>
      <c r="B21" s="258">
        <f>B20*B30</f>
        <v>11214702.145584777</v>
      </c>
      <c r="C21" s="179">
        <f>C20*B30</f>
        <v>11214702.145584777</v>
      </c>
      <c r="D21" s="1"/>
      <c r="E21" s="18"/>
      <c r="F21" s="3"/>
      <c r="G21" s="3"/>
      <c r="H21" s="133"/>
      <c r="I21" s="1"/>
      <c r="K21" s="68"/>
      <c r="L21" s="428">
        <f aca="true" t="shared" si="6" ref="L21:V21">K30</f>
        <v>1.033</v>
      </c>
      <c r="M21" s="428">
        <f t="shared" si="6"/>
        <v>1.141</v>
      </c>
      <c r="N21" s="239">
        <f t="shared" si="6"/>
        <v>1.212</v>
      </c>
      <c r="O21" s="239">
        <f t="shared" si="6"/>
        <v>1.374</v>
      </c>
      <c r="P21" s="239">
        <f t="shared" si="6"/>
        <v>1.429</v>
      </c>
      <c r="Q21" s="239">
        <f t="shared" si="6"/>
        <v>1.528</v>
      </c>
      <c r="R21" s="239">
        <f t="shared" si="6"/>
        <v>0</v>
      </c>
      <c r="S21" s="239">
        <f t="shared" si="6"/>
        <v>0</v>
      </c>
      <c r="T21" s="240">
        <f t="shared" si="6"/>
        <v>0</v>
      </c>
      <c r="U21" s="240">
        <f t="shared" si="6"/>
        <v>0</v>
      </c>
      <c r="V21" s="240">
        <f t="shared" si="6"/>
        <v>0</v>
      </c>
      <c r="W21" s="240"/>
      <c r="X21" s="240"/>
      <c r="Y21" s="240"/>
      <c r="Z21" s="240"/>
      <c r="AA21" s="240"/>
      <c r="AB21" s="240"/>
      <c r="AC21" s="240"/>
      <c r="AD21" s="240"/>
      <c r="AE21" s="241"/>
      <c r="AK21" s="3"/>
      <c r="AL21" s="347"/>
      <c r="AM21" s="406"/>
      <c r="AN21" s="408"/>
      <c r="AO21" s="407"/>
      <c r="AP21" s="425"/>
      <c r="AQ21" s="423"/>
      <c r="AR21" s="423"/>
      <c r="AT21" s="406"/>
      <c r="AU21" s="408"/>
      <c r="AV21" s="407"/>
      <c r="AW21" s="425"/>
      <c r="AX21" s="423"/>
      <c r="AY21" s="423"/>
      <c r="BA21" s="406"/>
      <c r="BB21" s="408"/>
      <c r="BC21" s="407"/>
      <c r="BD21" s="425"/>
      <c r="BE21" s="423"/>
      <c r="BF21" s="423"/>
      <c r="BH21" s="406"/>
      <c r="BI21" s="408"/>
      <c r="BJ21" s="407"/>
      <c r="BK21" s="425"/>
      <c r="BL21" s="423"/>
      <c r="BM21" s="423"/>
      <c r="BO21" s="406"/>
      <c r="BP21" s="408"/>
      <c r="BQ21" s="407"/>
      <c r="BR21" s="425"/>
      <c r="BS21" s="423"/>
      <c r="BT21" s="423"/>
    </row>
    <row r="22" spans="1:72" ht="12.75">
      <c r="A22" s="339" t="s">
        <v>312</v>
      </c>
      <c r="B22" s="258">
        <f>J30*1000000</f>
        <v>0</v>
      </c>
      <c r="C22" s="180">
        <f>J30*1000000</f>
        <v>0</v>
      </c>
      <c r="D22" s="1"/>
      <c r="E22" s="1"/>
      <c r="F22" s="268" t="s">
        <v>410</v>
      </c>
      <c r="G22" s="133">
        <v>3.9</v>
      </c>
      <c r="H22" s="3"/>
      <c r="I22" s="1"/>
      <c r="K22" s="45"/>
      <c r="L22" s="429">
        <f aca="true" t="shared" si="7" ref="L22:AE22">E11</f>
        <v>0.9842645491883341</v>
      </c>
      <c r="M22" s="429">
        <f t="shared" si="7"/>
        <v>1.065342428376668</v>
      </c>
      <c r="N22" s="242">
        <f t="shared" si="7"/>
        <v>1.146420307565002</v>
      </c>
      <c r="O22" s="242">
        <f t="shared" si="7"/>
        <v>1.227498186753336</v>
      </c>
      <c r="P22" s="242">
        <f t="shared" si="7"/>
        <v>1.3085760659416703</v>
      </c>
      <c r="Q22" s="242">
        <f t="shared" si="7"/>
        <v>1.3896539451300043</v>
      </c>
      <c r="R22" s="242">
        <f t="shared" si="7"/>
        <v>1.4707318243183385</v>
      </c>
      <c r="S22" s="242">
        <f t="shared" si="7"/>
        <v>1.5518097035066725</v>
      </c>
      <c r="T22" s="243">
        <f t="shared" si="7"/>
        <v>1.6328875826950064</v>
      </c>
      <c r="U22" s="243">
        <f t="shared" si="7"/>
        <v>1.7139654618833404</v>
      </c>
      <c r="V22" s="243">
        <f t="shared" si="7"/>
        <v>1.7950433410716746</v>
      </c>
      <c r="W22" s="243">
        <f t="shared" si="7"/>
        <v>1.8761212202600086</v>
      </c>
      <c r="X22" s="243">
        <f t="shared" si="7"/>
        <v>1.9571990994483428</v>
      </c>
      <c r="Y22" s="243">
        <f t="shared" si="7"/>
        <v>2.038276978636677</v>
      </c>
      <c r="Z22" s="243">
        <f t="shared" si="7"/>
        <v>2.119354857825011</v>
      </c>
      <c r="AA22" s="243">
        <f t="shared" si="7"/>
        <v>2.200432737013345</v>
      </c>
      <c r="AB22" s="243">
        <f t="shared" si="7"/>
        <v>2.2815106162016794</v>
      </c>
      <c r="AC22" s="243">
        <f t="shared" si="7"/>
        <v>2.362588495390013</v>
      </c>
      <c r="AD22" s="243">
        <f t="shared" si="7"/>
        <v>2.4436663745783473</v>
      </c>
      <c r="AE22" s="243">
        <f t="shared" si="7"/>
        <v>2.524744253766681</v>
      </c>
      <c r="AJ22" s="162"/>
      <c r="AK22" s="3"/>
      <c r="AL22" s="347"/>
      <c r="AM22" s="406"/>
      <c r="AN22" s="408"/>
      <c r="AO22" s="407"/>
      <c r="AP22" s="413"/>
      <c r="AQ22" s="413"/>
      <c r="AR22" s="413"/>
      <c r="AT22" s="406"/>
      <c r="AU22" s="408"/>
      <c r="AV22" s="407"/>
      <c r="AW22" s="413"/>
      <c r="AX22" s="413"/>
      <c r="AY22" s="413"/>
      <c r="BA22" s="406"/>
      <c r="BB22" s="408"/>
      <c r="BC22" s="407"/>
      <c r="BD22" s="413"/>
      <c r="BE22" s="413"/>
      <c r="BF22" s="413"/>
      <c r="BH22" s="406"/>
      <c r="BI22" s="408"/>
      <c r="BJ22" s="407"/>
      <c r="BK22" s="413"/>
      <c r="BL22" s="413"/>
      <c r="BM22" s="413"/>
      <c r="BO22" s="406"/>
      <c r="BP22" s="408"/>
      <c r="BQ22" s="407"/>
      <c r="BR22" s="413"/>
      <c r="BS22" s="413"/>
      <c r="BT22" s="413"/>
    </row>
    <row r="23" spans="1:72" ht="12.75">
      <c r="A23" s="339" t="s">
        <v>318</v>
      </c>
      <c r="B23" s="259">
        <f>B21-B22</f>
        <v>11214702.145584777</v>
      </c>
      <c r="C23" s="180">
        <f>C21-C22</f>
        <v>11214702.145584777</v>
      </c>
      <c r="D23" s="1"/>
      <c r="E23" s="18"/>
      <c r="F23" s="268" t="s">
        <v>411</v>
      </c>
      <c r="G23" s="133">
        <v>4.4</v>
      </c>
      <c r="H23" s="3"/>
      <c r="I23" s="1"/>
      <c r="K23" s="30"/>
      <c r="L23" s="430">
        <v>100</v>
      </c>
      <c r="M23" s="426"/>
      <c r="N23" s="163">
        <f>C6-AE22</f>
        <v>-1.5528442537666813</v>
      </c>
      <c r="O23" s="164">
        <f>N24</f>
        <v>-1.5977407693864407</v>
      </c>
      <c r="P23" s="165"/>
      <c r="Q23" s="165"/>
      <c r="R23" s="165"/>
      <c r="S23" s="165"/>
      <c r="T23" s="182"/>
      <c r="U23" s="182"/>
      <c r="V23" s="182"/>
      <c r="W23" s="165"/>
      <c r="X23" s="165"/>
      <c r="Y23" s="165"/>
      <c r="Z23" s="165"/>
      <c r="AA23" s="162"/>
      <c r="AB23" s="162"/>
      <c r="AC23" s="162"/>
      <c r="AD23" s="162"/>
      <c r="AE23" s="162"/>
      <c r="AJ23" s="162"/>
      <c r="AK23" s="3"/>
      <c r="AL23" s="347"/>
      <c r="AM23" s="406"/>
      <c r="AN23" s="408"/>
      <c r="AO23" s="407"/>
      <c r="AP23" s="410"/>
      <c r="AQ23" s="423"/>
      <c r="AR23" s="423"/>
      <c r="AT23" s="406"/>
      <c r="AU23" s="408"/>
      <c r="AV23" s="407"/>
      <c r="AW23" s="410"/>
      <c r="AX23" s="423"/>
      <c r="AY23" s="423"/>
      <c r="BA23" s="406"/>
      <c r="BB23" s="408"/>
      <c r="BC23" s="407"/>
      <c r="BD23" s="410"/>
      <c r="BE23" s="423"/>
      <c r="BF23" s="423"/>
      <c r="BH23" s="406"/>
      <c r="BI23" s="408"/>
      <c r="BJ23" s="407"/>
      <c r="BK23" s="410"/>
      <c r="BL23" s="423"/>
      <c r="BM23" s="423"/>
      <c r="BO23" s="406"/>
      <c r="BP23" s="408"/>
      <c r="BQ23" s="407"/>
      <c r="BR23" s="410"/>
      <c r="BS23" s="423"/>
      <c r="BT23" s="423"/>
    </row>
    <row r="24" spans="1:72" ht="12.75">
      <c r="A24" s="256" t="s">
        <v>314</v>
      </c>
      <c r="B24" s="260">
        <f>B23/B30</f>
        <v>3.74822932673288</v>
      </c>
      <c r="C24" s="180">
        <f>C23/B30</f>
        <v>3.74822932673288</v>
      </c>
      <c r="D24" s="18"/>
      <c r="H24" s="1"/>
      <c r="I24" s="1"/>
      <c r="K24" s="3"/>
      <c r="L24" s="431">
        <f>C30-I30</f>
        <v>-5110.194766666667</v>
      </c>
      <c r="M24" s="426"/>
      <c r="N24" s="162">
        <f>N23/C6</f>
        <v>-1.5977407693864407</v>
      </c>
      <c r="O24" s="166"/>
      <c r="P24" s="162"/>
      <c r="Q24" s="167"/>
      <c r="R24" s="165"/>
      <c r="S24" s="165"/>
      <c r="T24" s="89">
        <f>O23</f>
        <v>-1.5977407693864407</v>
      </c>
      <c r="U24" s="59"/>
      <c r="V24" s="59"/>
      <c r="W24" s="162"/>
      <c r="X24" s="162"/>
      <c r="Y24" s="162"/>
      <c r="Z24" s="162"/>
      <c r="AA24" s="162"/>
      <c r="AB24" s="162"/>
      <c r="AC24" s="162"/>
      <c r="AD24" s="162"/>
      <c r="AE24" s="162"/>
      <c r="AG24" s="3"/>
      <c r="AH24" s="3"/>
      <c r="AI24" s="3"/>
      <c r="AJ24" s="3"/>
      <c r="AK24" s="3"/>
      <c r="AL24" s="347"/>
      <c r="AM24" s="406"/>
      <c r="AN24" s="408"/>
      <c r="AO24" s="407"/>
      <c r="AP24" s="413"/>
      <c r="AQ24" s="413"/>
      <c r="AR24" s="413"/>
      <c r="AT24" s="406"/>
      <c r="AU24" s="408"/>
      <c r="AV24" s="407"/>
      <c r="AW24" s="413"/>
      <c r="AX24" s="413"/>
      <c r="AY24" s="413"/>
      <c r="BA24" s="406"/>
      <c r="BB24" s="408"/>
      <c r="BC24" s="407"/>
      <c r="BD24" s="413"/>
      <c r="BE24" s="413"/>
      <c r="BF24" s="413"/>
      <c r="BH24" s="406"/>
      <c r="BI24" s="408"/>
      <c r="BJ24" s="407"/>
      <c r="BK24" s="413"/>
      <c r="BL24" s="413"/>
      <c r="BM24" s="413"/>
      <c r="BO24" s="406"/>
      <c r="BP24" s="408"/>
      <c r="BQ24" s="407"/>
      <c r="BR24" s="413"/>
      <c r="BS24" s="413"/>
      <c r="BT24" s="413"/>
    </row>
    <row r="25" spans="1:72" ht="12.75">
      <c r="A25" s="339" t="s">
        <v>310</v>
      </c>
      <c r="B25" s="259">
        <f>B20/H20</f>
        <v>0.4857106811886588</v>
      </c>
      <c r="C25" s="176"/>
      <c r="D25" s="1"/>
      <c r="E25" s="1"/>
      <c r="F25" s="268"/>
      <c r="G25" s="133"/>
      <c r="I25" s="1"/>
      <c r="J25" s="1"/>
      <c r="K25" s="3"/>
      <c r="L25" s="426"/>
      <c r="M25" s="426"/>
      <c r="N25" s="3"/>
      <c r="O25" s="3"/>
      <c r="P25" s="3"/>
      <c r="Q25" s="59"/>
      <c r="R25" s="59"/>
      <c r="S25" s="59"/>
      <c r="T25" s="59"/>
      <c r="U25" s="59"/>
      <c r="V25" s="108" t="s">
        <v>191</v>
      </c>
      <c r="W25" s="58"/>
      <c r="X25" s="421">
        <f>T24*-1</f>
        <v>1.5977407693864407</v>
      </c>
      <c r="Y25" s="397" t="s">
        <v>309</v>
      </c>
      <c r="Z25" s="90"/>
      <c r="AA25" s="58"/>
      <c r="AB25" s="58"/>
      <c r="AC25" s="38"/>
      <c r="AD25" s="38"/>
      <c r="AE25" s="38"/>
      <c r="AF25" s="3"/>
      <c r="AG25" s="1"/>
      <c r="AH25" s="1"/>
      <c r="AI25" s="1"/>
      <c r="AJ25" s="1"/>
      <c r="AK25" s="1"/>
      <c r="AL25" s="347"/>
      <c r="AM25" s="406"/>
      <c r="AN25" s="406"/>
      <c r="AO25" s="532"/>
      <c r="AP25" s="533"/>
      <c r="AQ25" s="406"/>
      <c r="AR25" s="406"/>
      <c r="AS25" s="31"/>
      <c r="AT25" s="406"/>
      <c r="AU25" s="406"/>
      <c r="AV25" s="532"/>
      <c r="AW25" s="533"/>
      <c r="AX25" s="406"/>
      <c r="AY25" s="406"/>
      <c r="AZ25" s="31"/>
      <c r="BA25" s="406"/>
      <c r="BB25" s="406"/>
      <c r="BC25" s="532"/>
      <c r="BD25" s="533"/>
      <c r="BE25" s="406"/>
      <c r="BF25" s="406"/>
      <c r="BG25" s="31"/>
      <c r="BH25" s="406"/>
      <c r="BI25" s="406"/>
      <c r="BJ25" s="532"/>
      <c r="BK25" s="533"/>
      <c r="BL25" s="406"/>
      <c r="BM25" s="406"/>
      <c r="BN25" s="31"/>
      <c r="BO25" s="406"/>
      <c r="BP25" s="406"/>
      <c r="BQ25" s="532"/>
      <c r="BR25" s="533"/>
      <c r="BS25" s="406"/>
      <c r="BT25" s="406"/>
    </row>
    <row r="26" spans="1:72" ht="18.75">
      <c r="A26" s="433" t="s">
        <v>315</v>
      </c>
      <c r="B26" s="434">
        <f>B23/1000000</f>
        <v>11.214702145584777</v>
      </c>
      <c r="C26" s="435" t="s">
        <v>196</v>
      </c>
      <c r="E26" s="1"/>
      <c r="H26" s="66"/>
      <c r="I26" s="1"/>
      <c r="J26" s="1"/>
      <c r="K26" s="3"/>
      <c r="L26" s="3"/>
      <c r="M26" s="3"/>
      <c r="N26" s="3"/>
      <c r="O26" s="3"/>
      <c r="P26" s="3"/>
      <c r="Q26" s="3"/>
      <c r="R26" s="3"/>
      <c r="S26" s="46"/>
      <c r="T26" s="3"/>
      <c r="U26" s="38"/>
      <c r="V26" s="38"/>
      <c r="W26" s="38"/>
      <c r="AA26" s="91"/>
      <c r="AB26" s="91"/>
      <c r="AC26" s="91"/>
      <c r="AD26" s="3"/>
      <c r="AE26" s="38"/>
      <c r="AF26" s="3"/>
      <c r="AG26" s="26"/>
      <c r="AH26" s="1"/>
      <c r="AI26" s="1"/>
      <c r="AJ26" s="1"/>
      <c r="AK26" s="1"/>
      <c r="AL26" s="347"/>
      <c r="AM26" s="73"/>
      <c r="AN26" s="346"/>
      <c r="AO26" s="346"/>
      <c r="AP26" s="346"/>
      <c r="AQ26" s="1"/>
      <c r="AR26" s="1"/>
      <c r="AT26" s="73"/>
      <c r="AU26" s="346"/>
      <c r="AV26" s="346"/>
      <c r="AW26" s="346"/>
      <c r="AX26" s="1"/>
      <c r="AY26" s="1"/>
      <c r="BA26" s="73"/>
      <c r="BB26" s="346"/>
      <c r="BC26" s="346"/>
      <c r="BD26" s="346"/>
      <c r="BE26" s="1"/>
      <c r="BF26" s="1"/>
      <c r="BH26" s="73"/>
      <c r="BI26" s="346"/>
      <c r="BJ26" s="346"/>
      <c r="BK26" s="346"/>
      <c r="BL26" s="1"/>
      <c r="BM26" s="1"/>
      <c r="BO26" s="73"/>
      <c r="BP26" s="346"/>
      <c r="BQ26" s="346"/>
      <c r="BR26" s="346"/>
      <c r="BS26" s="1"/>
      <c r="BT26" s="1"/>
    </row>
    <row r="27" spans="1:72" ht="12.75">
      <c r="A27" s="256" t="s">
        <v>252</v>
      </c>
      <c r="B27" s="261">
        <f>B26/A17/1000</f>
        <v>1.4204144736314208E-05</v>
      </c>
      <c r="C27" s="262" t="str">
        <f>A30</f>
        <v>Albania</v>
      </c>
      <c r="D27" s="14" t="s">
        <v>158</v>
      </c>
      <c r="E27" s="1"/>
      <c r="F27" s="1"/>
      <c r="G27" s="1"/>
      <c r="H27" s="1"/>
      <c r="I27" s="1"/>
      <c r="J27" s="1"/>
      <c r="K27" s="3"/>
      <c r="L27" s="3"/>
      <c r="M27" s="3"/>
      <c r="N27" s="3"/>
      <c r="O27" s="3"/>
      <c r="P27" s="3"/>
      <c r="Q27" s="3"/>
      <c r="R27" s="3"/>
      <c r="S27" s="46"/>
      <c r="T27" s="3"/>
      <c r="U27" s="3"/>
      <c r="V27" s="3"/>
      <c r="W27" s="3"/>
      <c r="X27" s="3"/>
      <c r="Y27" s="49"/>
      <c r="Z27" s="3"/>
      <c r="AA27" s="3"/>
      <c r="AB27" s="3"/>
      <c r="AC27" s="3"/>
      <c r="AD27" s="3"/>
      <c r="AE27" s="3"/>
      <c r="AF27" s="3"/>
      <c r="AG27" s="26"/>
      <c r="AH27" s="1"/>
      <c r="AI27" s="1"/>
      <c r="AJ27" s="1"/>
      <c r="AK27" s="1"/>
      <c r="AL27" s="347"/>
      <c r="AM27" s="414"/>
      <c r="AN27" s="415"/>
      <c r="AO27" s="416"/>
      <c r="AP27" s="414"/>
      <c r="AQ27" s="414"/>
      <c r="AR27" s="414"/>
      <c r="AS27" s="40"/>
      <c r="AT27" s="414"/>
      <c r="AU27" s="415"/>
      <c r="AV27" s="416"/>
      <c r="AW27" s="414"/>
      <c r="AX27" s="414"/>
      <c r="AY27" s="414"/>
      <c r="AZ27" s="40"/>
      <c r="BA27" s="414"/>
      <c r="BB27" s="415"/>
      <c r="BC27" s="416"/>
      <c r="BD27" s="414"/>
      <c r="BE27" s="414"/>
      <c r="BF27" s="414"/>
      <c r="BG27" s="40"/>
      <c r="BH27" s="414"/>
      <c r="BI27" s="415"/>
      <c r="BJ27" s="416"/>
      <c r="BK27" s="414"/>
      <c r="BL27" s="414"/>
      <c r="BM27" s="414"/>
      <c r="BN27" s="40"/>
      <c r="BO27" s="414"/>
      <c r="BP27" s="415"/>
      <c r="BQ27" s="416"/>
      <c r="BR27" s="414"/>
      <c r="BS27" s="414"/>
      <c r="BT27" s="414"/>
    </row>
    <row r="28" spans="5:72" ht="12.75">
      <c r="E28" s="18"/>
      <c r="F28" s="23"/>
      <c r="G28" s="1"/>
      <c r="H28" s="1"/>
      <c r="I28" s="1"/>
      <c r="J28" s="1"/>
      <c r="K28" s="3"/>
      <c r="L28" s="3"/>
      <c r="M28" s="3"/>
      <c r="N28" s="3"/>
      <c r="O28" s="3"/>
      <c r="P28" s="3"/>
      <c r="Q28" s="3"/>
      <c r="R28" s="3"/>
      <c r="S28" s="3"/>
      <c r="T28" s="3"/>
      <c r="U28" s="3"/>
      <c r="V28" s="49"/>
      <c r="W28" s="3"/>
      <c r="X28" s="49"/>
      <c r="Y28" s="49"/>
      <c r="Z28" s="3"/>
      <c r="AA28" s="3"/>
      <c r="AB28" s="3"/>
      <c r="AC28" s="3"/>
      <c r="AD28" s="3"/>
      <c r="AE28" s="38"/>
      <c r="AF28" s="3"/>
      <c r="AG28" s="10"/>
      <c r="AH28" s="10"/>
      <c r="AJ28" s="20"/>
      <c r="AL28" s="347"/>
      <c r="AM28" s="406"/>
      <c r="AN28" s="408"/>
      <c r="AO28" s="407"/>
      <c r="AP28" s="413"/>
      <c r="AQ28" s="413"/>
      <c r="AR28" s="413"/>
      <c r="AS28" s="40"/>
      <c r="AT28" s="406"/>
      <c r="AU28" s="408"/>
      <c r="AV28" s="407"/>
      <c r="AW28" s="413"/>
      <c r="AX28" s="413"/>
      <c r="AY28" s="413"/>
      <c r="AZ28" s="40"/>
      <c r="BA28" s="406"/>
      <c r="BB28" s="408"/>
      <c r="BC28" s="407"/>
      <c r="BD28" s="413"/>
      <c r="BE28" s="413"/>
      <c r="BF28" s="413"/>
      <c r="BG28" s="40"/>
      <c r="BH28" s="406"/>
      <c r="BI28" s="408"/>
      <c r="BJ28" s="407"/>
      <c r="BK28" s="413"/>
      <c r="BL28" s="413"/>
      <c r="BM28" s="413"/>
      <c r="BN28" s="40"/>
      <c r="BO28" s="406"/>
      <c r="BP28" s="408"/>
      <c r="BQ28" s="407"/>
      <c r="BR28" s="413"/>
      <c r="BS28" s="413"/>
      <c r="BT28" s="413"/>
    </row>
    <row r="29" spans="1:72" ht="12.75">
      <c r="A29" s="340" t="s">
        <v>278</v>
      </c>
      <c r="B29" s="536" t="s">
        <v>156</v>
      </c>
      <c r="C29" s="536" t="s">
        <v>200</v>
      </c>
      <c r="D29" s="536" t="s">
        <v>391</v>
      </c>
      <c r="E29" s="536" t="s">
        <v>265</v>
      </c>
      <c r="F29" s="535" t="s">
        <v>420</v>
      </c>
      <c r="G29" s="536" t="s">
        <v>224</v>
      </c>
      <c r="H29" s="536" t="s">
        <v>224</v>
      </c>
      <c r="I29" s="536" t="s">
        <v>282</v>
      </c>
      <c r="J29" s="536" t="s">
        <v>212</v>
      </c>
      <c r="K29" s="536">
        <v>2000</v>
      </c>
      <c r="L29" s="536">
        <v>2001</v>
      </c>
      <c r="M29" s="536">
        <v>2002</v>
      </c>
      <c r="N29" s="536">
        <v>2003</v>
      </c>
      <c r="O29" s="536">
        <v>2004</v>
      </c>
      <c r="P29" s="536">
        <v>2005</v>
      </c>
      <c r="Q29" s="536">
        <v>2006</v>
      </c>
      <c r="R29" s="536">
        <v>2007</v>
      </c>
      <c r="S29" s="536">
        <v>2008</v>
      </c>
      <c r="T29" s="536">
        <v>2009</v>
      </c>
      <c r="U29" s="536">
        <v>2010</v>
      </c>
      <c r="V29" s="536">
        <v>2011</v>
      </c>
      <c r="W29" s="536">
        <v>2012</v>
      </c>
      <c r="X29" s="536">
        <v>2013</v>
      </c>
      <c r="Y29" s="536">
        <v>2014</v>
      </c>
      <c r="Z29" s="536">
        <v>2015</v>
      </c>
      <c r="AA29" s="536">
        <v>2016</v>
      </c>
      <c r="AB29" s="536">
        <v>2017</v>
      </c>
      <c r="AC29" s="536">
        <v>2018</v>
      </c>
      <c r="AD29" s="536">
        <v>2019</v>
      </c>
      <c r="AE29" s="10"/>
      <c r="AF29" s="10"/>
      <c r="AG29" s="20"/>
      <c r="AH29" s="20"/>
      <c r="AJ29" s="10"/>
      <c r="AL29" s="347"/>
      <c r="AM29" s="406"/>
      <c r="AN29" s="408"/>
      <c r="AO29" s="407"/>
      <c r="AP29" s="410"/>
      <c r="AQ29" s="424"/>
      <c r="AR29" s="424"/>
      <c r="AS29" s="40"/>
      <c r="AT29" s="406"/>
      <c r="AU29" s="408"/>
      <c r="AV29" s="407"/>
      <c r="AW29" s="410"/>
      <c r="AX29" s="424"/>
      <c r="AY29" s="424"/>
      <c r="AZ29" s="40"/>
      <c r="BA29" s="406"/>
      <c r="BB29" s="408"/>
      <c r="BC29" s="407"/>
      <c r="BD29" s="410"/>
      <c r="BE29" s="424"/>
      <c r="BF29" s="424"/>
      <c r="BG29" s="40"/>
      <c r="BH29" s="406"/>
      <c r="BI29" s="408"/>
      <c r="BJ29" s="407"/>
      <c r="BK29" s="410"/>
      <c r="BL29" s="424"/>
      <c r="BM29" s="424"/>
      <c r="BN29" s="40"/>
      <c r="BO29" s="406"/>
      <c r="BP29" s="408"/>
      <c r="BQ29" s="407"/>
      <c r="BR29" s="410"/>
      <c r="BS29" s="424"/>
      <c r="BT29" s="424"/>
    </row>
    <row r="30" spans="1:72" ht="12.75">
      <c r="A30" s="291" t="s">
        <v>35</v>
      </c>
      <c r="B30" s="298">
        <v>2992000</v>
      </c>
      <c r="C30" s="294">
        <v>0.9718999999999998</v>
      </c>
      <c r="D30" s="607">
        <v>-0.45</v>
      </c>
      <c r="E30" s="294">
        <v>76.45</v>
      </c>
      <c r="F30" s="294">
        <v>0.955</v>
      </c>
      <c r="G30" s="296"/>
      <c r="H30" s="296"/>
      <c r="I30" s="298">
        <v>5111.166666666667</v>
      </c>
      <c r="J30" s="294"/>
      <c r="K30" s="299">
        <v>1.033</v>
      </c>
      <c r="L30" s="299">
        <v>1.141</v>
      </c>
      <c r="M30" s="299">
        <v>1.212</v>
      </c>
      <c r="N30" s="299">
        <v>1.374</v>
      </c>
      <c r="O30" s="299">
        <v>1.429</v>
      </c>
      <c r="P30" s="299">
        <v>1.528</v>
      </c>
      <c r="Q30" s="363"/>
      <c r="R30" s="363"/>
      <c r="S30" s="363"/>
      <c r="T30" s="363"/>
      <c r="U30" s="363"/>
      <c r="V30" s="363"/>
      <c r="W30" s="363"/>
      <c r="X30" s="363"/>
      <c r="Y30" s="363"/>
      <c r="Z30" s="363"/>
      <c r="AA30" s="363"/>
      <c r="AB30" s="363"/>
      <c r="AC30" s="363"/>
      <c r="AD30" s="363"/>
      <c r="AE30" s="20"/>
      <c r="AF30" s="20"/>
      <c r="AG30" s="10"/>
      <c r="AH30" s="10"/>
      <c r="AJ30" s="10"/>
      <c r="AL30" s="347"/>
      <c r="AM30" s="406"/>
      <c r="AN30" s="408"/>
      <c r="AO30" s="407"/>
      <c r="AP30" s="413"/>
      <c r="AQ30" s="413"/>
      <c r="AR30" s="413"/>
      <c r="AS30" s="40"/>
      <c r="AT30" s="406"/>
      <c r="AU30" s="408"/>
      <c r="AV30" s="407"/>
      <c r="AW30" s="413"/>
      <c r="AX30" s="413"/>
      <c r="AY30" s="413"/>
      <c r="AZ30" s="40"/>
      <c r="BA30" s="406"/>
      <c r="BB30" s="408"/>
      <c r="BC30" s="407"/>
      <c r="BD30" s="413"/>
      <c r="BE30" s="413"/>
      <c r="BF30" s="413"/>
      <c r="BG30" s="40"/>
      <c r="BH30" s="406"/>
      <c r="BI30" s="408"/>
      <c r="BJ30" s="407"/>
      <c r="BK30" s="413"/>
      <c r="BL30" s="413"/>
      <c r="BM30" s="413"/>
      <c r="BN30" s="40"/>
      <c r="BO30" s="406"/>
      <c r="BP30" s="408"/>
      <c r="BQ30" s="407"/>
      <c r="BR30" s="413"/>
      <c r="BS30" s="413"/>
      <c r="BT30" s="413"/>
    </row>
    <row r="31" spans="1:72" ht="12.75">
      <c r="A31" s="1"/>
      <c r="B31" s="1"/>
      <c r="C31" s="1"/>
      <c r="D31" s="10"/>
      <c r="E31" s="4"/>
      <c r="F31" s="4"/>
      <c r="H31" s="44"/>
      <c r="I31" s="4"/>
      <c r="J31" s="1"/>
      <c r="K31" s="4"/>
      <c r="L31" s="4"/>
      <c r="M31" s="1"/>
      <c r="N31" s="1"/>
      <c r="O31" s="1"/>
      <c r="P31" s="1"/>
      <c r="Q31" s="1"/>
      <c r="R31" s="1"/>
      <c r="S31" s="1"/>
      <c r="T31" s="1"/>
      <c r="U31" s="1"/>
      <c r="V31" s="1"/>
      <c r="W31" s="1"/>
      <c r="X31" s="1"/>
      <c r="Y31" s="1"/>
      <c r="Z31" s="10"/>
      <c r="AA31" s="5"/>
      <c r="AB31" s="10"/>
      <c r="AC31" s="1"/>
      <c r="AD31" s="1"/>
      <c r="AE31" s="10"/>
      <c r="AF31" s="10"/>
      <c r="AG31" s="10"/>
      <c r="AH31" s="10"/>
      <c r="AJ31" s="21"/>
      <c r="AL31" s="347"/>
      <c r="AM31" s="406"/>
      <c r="AN31" s="408"/>
      <c r="AO31" s="407"/>
      <c r="AP31" s="422"/>
      <c r="AQ31" s="423"/>
      <c r="AR31" s="423"/>
      <c r="AS31" s="40"/>
      <c r="AT31" s="406"/>
      <c r="AU31" s="408"/>
      <c r="AV31" s="407"/>
      <c r="AW31" s="422"/>
      <c r="AX31" s="423"/>
      <c r="AY31" s="423"/>
      <c r="AZ31" s="40"/>
      <c r="BA31" s="406"/>
      <c r="BB31" s="408"/>
      <c r="BC31" s="407"/>
      <c r="BD31" s="422"/>
      <c r="BE31" s="423"/>
      <c r="BF31" s="423"/>
      <c r="BG31" s="40"/>
      <c r="BH31" s="406"/>
      <c r="BI31" s="408"/>
      <c r="BJ31" s="407"/>
      <c r="BK31" s="422"/>
      <c r="BL31" s="423"/>
      <c r="BM31" s="423"/>
      <c r="BN31" s="40"/>
      <c r="BO31" s="406"/>
      <c r="BP31" s="408"/>
      <c r="BQ31" s="407"/>
      <c r="BR31" s="422"/>
      <c r="BS31" s="423"/>
      <c r="BT31" s="423"/>
    </row>
    <row r="32" spans="1:72" ht="12.75" hidden="1">
      <c r="A32" s="582" t="s">
        <v>286</v>
      </c>
      <c r="B32" s="27"/>
      <c r="E32" s="27"/>
      <c r="F32" s="27"/>
      <c r="H32" s="27"/>
      <c r="I32" s="27"/>
      <c r="J32" s="27"/>
      <c r="K32" s="1"/>
      <c r="L32" s="1"/>
      <c r="M32" s="1"/>
      <c r="N32" s="1"/>
      <c r="O32" s="1"/>
      <c r="P32" s="1"/>
      <c r="Q32" s="1"/>
      <c r="R32" s="1"/>
      <c r="S32" s="1"/>
      <c r="T32" s="1"/>
      <c r="U32" s="1"/>
      <c r="V32" s="1"/>
      <c r="W32" s="1"/>
      <c r="X32" s="1"/>
      <c r="Y32" s="1"/>
      <c r="Z32" s="21"/>
      <c r="AA32" s="5"/>
      <c r="AB32" s="10"/>
      <c r="AC32" s="1"/>
      <c r="AD32" s="1"/>
      <c r="AE32" s="10"/>
      <c r="AF32" s="10"/>
      <c r="AG32" s="13"/>
      <c r="AH32" s="13"/>
      <c r="AI32" s="270"/>
      <c r="AJ32" s="13"/>
      <c r="AK32" s="40"/>
      <c r="AL32" s="399"/>
      <c r="AM32" s="406"/>
      <c r="AN32" s="408"/>
      <c r="AO32" s="407"/>
      <c r="AP32" s="413"/>
      <c r="AQ32" s="413"/>
      <c r="AR32" s="413"/>
      <c r="AS32" s="40"/>
      <c r="AT32" s="406"/>
      <c r="AU32" s="408"/>
      <c r="AV32" s="407"/>
      <c r="AW32" s="413"/>
      <c r="AX32" s="413"/>
      <c r="AY32" s="413"/>
      <c r="AZ32" s="40"/>
      <c r="BA32" s="406"/>
      <c r="BB32" s="408"/>
      <c r="BC32" s="407"/>
      <c r="BD32" s="413"/>
      <c r="BE32" s="413"/>
      <c r="BF32" s="413"/>
      <c r="BG32" s="40"/>
      <c r="BH32" s="406"/>
      <c r="BI32" s="408"/>
      <c r="BJ32" s="407"/>
      <c r="BK32" s="413"/>
      <c r="BL32" s="413"/>
      <c r="BM32" s="413"/>
      <c r="BN32" s="40"/>
      <c r="BO32" s="406"/>
      <c r="BP32" s="408"/>
      <c r="BQ32" s="407"/>
      <c r="BR32" s="413"/>
      <c r="BS32" s="413"/>
      <c r="BT32" s="413"/>
    </row>
    <row r="33" spans="1:72" ht="13.5">
      <c r="A33" s="340" t="s">
        <v>284</v>
      </c>
      <c r="B33" s="535" t="s">
        <v>156</v>
      </c>
      <c r="C33" s="535" t="s">
        <v>279</v>
      </c>
      <c r="D33" s="535" t="s">
        <v>395</v>
      </c>
      <c r="E33" s="535" t="s">
        <v>265</v>
      </c>
      <c r="F33" s="535" t="s">
        <v>420</v>
      </c>
      <c r="G33" s="535" t="s">
        <v>224</v>
      </c>
      <c r="H33" s="535" t="s">
        <v>224</v>
      </c>
      <c r="I33" s="535" t="s">
        <v>283</v>
      </c>
      <c r="J33" s="535" t="s">
        <v>212</v>
      </c>
      <c r="K33" s="535" t="s">
        <v>279</v>
      </c>
      <c r="L33" s="535" t="s">
        <v>279</v>
      </c>
      <c r="M33" s="535" t="s">
        <v>280</v>
      </c>
      <c r="N33" s="535" t="s">
        <v>280</v>
      </c>
      <c r="O33" s="535" t="s">
        <v>280</v>
      </c>
      <c r="P33" s="535" t="s">
        <v>280</v>
      </c>
      <c r="Q33" s="535" t="s">
        <v>280</v>
      </c>
      <c r="R33" s="535" t="s">
        <v>280</v>
      </c>
      <c r="S33" s="535" t="s">
        <v>280</v>
      </c>
      <c r="T33" s="535" t="s">
        <v>280</v>
      </c>
      <c r="U33" s="535" t="s">
        <v>280</v>
      </c>
      <c r="V33" s="535" t="s">
        <v>280</v>
      </c>
      <c r="W33" s="535" t="s">
        <v>280</v>
      </c>
      <c r="X33" s="535" t="s">
        <v>280</v>
      </c>
      <c r="Y33" s="535" t="s">
        <v>280</v>
      </c>
      <c r="Z33" s="535" t="s">
        <v>280</v>
      </c>
      <c r="AA33" s="535" t="s">
        <v>280</v>
      </c>
      <c r="AB33" s="535" t="s">
        <v>280</v>
      </c>
      <c r="AC33" s="535" t="s">
        <v>280</v>
      </c>
      <c r="AD33" s="535" t="s">
        <v>280</v>
      </c>
      <c r="AE33" s="13"/>
      <c r="AF33" s="13"/>
      <c r="AG33" s="13"/>
      <c r="AH33" s="13"/>
      <c r="AI33" s="40"/>
      <c r="AJ33" s="63"/>
      <c r="AK33" s="40"/>
      <c r="AL33" s="399"/>
      <c r="AM33" s="406"/>
      <c r="AN33" s="408"/>
      <c r="AO33" s="407"/>
      <c r="AP33" s="425"/>
      <c r="AQ33" s="423"/>
      <c r="AR33" s="423"/>
      <c r="AS33" s="40"/>
      <c r="AT33" s="406"/>
      <c r="AU33" s="408"/>
      <c r="AV33" s="407"/>
      <c r="AW33" s="425"/>
      <c r="AX33" s="423"/>
      <c r="AY33" s="423"/>
      <c r="AZ33" s="40"/>
      <c r="BA33" s="406"/>
      <c r="BB33" s="408"/>
      <c r="BC33" s="407"/>
      <c r="BD33" s="425"/>
      <c r="BE33" s="423"/>
      <c r="BF33" s="423"/>
      <c r="BG33" s="40"/>
      <c r="BH33" s="406"/>
      <c r="BI33" s="408"/>
      <c r="BJ33" s="407"/>
      <c r="BK33" s="425"/>
      <c r="BL33" s="423"/>
      <c r="BM33" s="423"/>
      <c r="BN33" s="40"/>
      <c r="BO33" s="406"/>
      <c r="BP33" s="408"/>
      <c r="BQ33" s="407"/>
      <c r="BR33" s="425"/>
      <c r="BS33" s="423"/>
      <c r="BT33" s="423"/>
    </row>
    <row r="34" spans="1:72" ht="12.75">
      <c r="A34" s="341" t="s">
        <v>240</v>
      </c>
      <c r="B34" s="535">
        <v>2005</v>
      </c>
      <c r="C34" s="535" t="s">
        <v>200</v>
      </c>
      <c r="D34" s="535" t="s">
        <v>258</v>
      </c>
      <c r="E34" s="535" t="s">
        <v>226</v>
      </c>
      <c r="F34" s="535"/>
      <c r="G34" s="535" t="s">
        <v>261</v>
      </c>
      <c r="H34" s="535" t="s">
        <v>394</v>
      </c>
      <c r="I34" s="535" t="s">
        <v>394</v>
      </c>
      <c r="J34" s="535" t="s">
        <v>195</v>
      </c>
      <c r="K34" s="535">
        <v>2000</v>
      </c>
      <c r="L34" s="535">
        <v>2001</v>
      </c>
      <c r="M34" s="535">
        <v>2002</v>
      </c>
      <c r="N34" s="535">
        <v>2003</v>
      </c>
      <c r="O34" s="535">
        <v>2004</v>
      </c>
      <c r="P34" s="535">
        <v>2005</v>
      </c>
      <c r="Q34" s="535">
        <v>2006</v>
      </c>
      <c r="R34" s="535">
        <v>2007</v>
      </c>
      <c r="S34" s="535">
        <v>2008</v>
      </c>
      <c r="T34" s="535">
        <v>2009</v>
      </c>
      <c r="U34" s="535">
        <v>2010</v>
      </c>
      <c r="V34" s="535">
        <v>2011</v>
      </c>
      <c r="W34" s="535">
        <v>2012</v>
      </c>
      <c r="X34" s="535">
        <v>2013</v>
      </c>
      <c r="Y34" s="535">
        <v>2014</v>
      </c>
      <c r="Z34" s="535">
        <v>2015</v>
      </c>
      <c r="AA34" s="535">
        <v>2016</v>
      </c>
      <c r="AB34" s="535">
        <v>2017</v>
      </c>
      <c r="AC34" s="535">
        <v>2018</v>
      </c>
      <c r="AD34" s="535">
        <v>2019</v>
      </c>
      <c r="AE34" s="64"/>
      <c r="AF34" s="64"/>
      <c r="AG34" s="271"/>
      <c r="AH34" s="272"/>
      <c r="AI34" s="273"/>
      <c r="AJ34" s="40"/>
      <c r="AK34" s="40"/>
      <c r="AL34" s="400"/>
      <c r="AM34" s="406"/>
      <c r="AN34" s="408"/>
      <c r="AO34" s="407"/>
      <c r="AP34" s="413"/>
      <c r="AQ34" s="413"/>
      <c r="AR34" s="413"/>
      <c r="AS34" s="40"/>
      <c r="AT34" s="406"/>
      <c r="AU34" s="408"/>
      <c r="AV34" s="407"/>
      <c r="AW34" s="413"/>
      <c r="AX34" s="413"/>
      <c r="AY34" s="413"/>
      <c r="AZ34" s="40"/>
      <c r="BA34" s="406"/>
      <c r="BB34" s="408"/>
      <c r="BC34" s="407"/>
      <c r="BD34" s="413"/>
      <c r="BE34" s="413"/>
      <c r="BF34" s="413"/>
      <c r="BG34" s="40"/>
      <c r="BH34" s="406"/>
      <c r="BI34" s="408"/>
      <c r="BJ34" s="407"/>
      <c r="BK34" s="413"/>
      <c r="BL34" s="413"/>
      <c r="BM34" s="413"/>
      <c r="BN34" s="40"/>
      <c r="BO34" s="406"/>
      <c r="BP34" s="408"/>
      <c r="BQ34" s="407"/>
      <c r="BR34" s="413"/>
      <c r="BS34" s="413"/>
      <c r="BT34" s="413"/>
    </row>
    <row r="35" spans="1:72" ht="12.75">
      <c r="A35" s="291" t="s">
        <v>187</v>
      </c>
      <c r="B35" s="293">
        <v>26912000</v>
      </c>
      <c r="C35" s="294">
        <v>0.13540000000000002</v>
      </c>
      <c r="D35" s="606">
        <v>0</v>
      </c>
      <c r="E35" s="305"/>
      <c r="F35" s="294">
        <v>0.295</v>
      </c>
      <c r="G35" s="295"/>
      <c r="H35" s="295"/>
      <c r="I35" s="596">
        <v>587.2656671740775</v>
      </c>
      <c r="J35" s="294"/>
      <c r="K35" s="297">
        <v>0.061</v>
      </c>
      <c r="L35" s="297">
        <v>0.038</v>
      </c>
      <c r="M35" s="297">
        <v>0.037</v>
      </c>
      <c r="N35" s="297">
        <v>0.028</v>
      </c>
      <c r="O35" s="297">
        <v>0.029</v>
      </c>
      <c r="P35" s="297">
        <v>0.03</v>
      </c>
      <c r="Q35" s="363"/>
      <c r="R35" s="363"/>
      <c r="S35" s="363"/>
      <c r="T35" s="363"/>
      <c r="U35" s="363"/>
      <c r="V35" s="363"/>
      <c r="W35" s="363"/>
      <c r="X35" s="363"/>
      <c r="Y35" s="363"/>
      <c r="Z35" s="363"/>
      <c r="AA35" s="363"/>
      <c r="AB35" s="363"/>
      <c r="AC35" s="363"/>
      <c r="AD35" s="363"/>
      <c r="AE35" s="238"/>
      <c r="AF35" s="238"/>
      <c r="AG35" s="271"/>
      <c r="AH35" s="272"/>
      <c r="AI35" s="273"/>
      <c r="AJ35" s="40"/>
      <c r="AK35" s="40"/>
      <c r="AL35" s="400"/>
      <c r="AM35" s="406"/>
      <c r="AN35" s="408"/>
      <c r="AO35" s="407"/>
      <c r="AP35" s="410"/>
      <c r="AQ35" s="423"/>
      <c r="AR35" s="423"/>
      <c r="AS35" s="40"/>
      <c r="AT35" s="406"/>
      <c r="AU35" s="408"/>
      <c r="AV35" s="407"/>
      <c r="AW35" s="410"/>
      <c r="AX35" s="423"/>
      <c r="AY35" s="423"/>
      <c r="AZ35" s="40"/>
      <c r="BA35" s="406"/>
      <c r="BB35" s="408"/>
      <c r="BC35" s="407"/>
      <c r="BD35" s="410"/>
      <c r="BE35" s="423"/>
      <c r="BF35" s="423"/>
      <c r="BG35" s="40"/>
      <c r="BH35" s="406"/>
      <c r="BI35" s="408"/>
      <c r="BJ35" s="407"/>
      <c r="BK35" s="410"/>
      <c r="BL35" s="423"/>
      <c r="BM35" s="423"/>
      <c r="BN35" s="40"/>
      <c r="BO35" s="406"/>
      <c r="BP35" s="408"/>
      <c r="BQ35" s="407"/>
      <c r="BR35" s="410"/>
      <c r="BS35" s="423"/>
      <c r="BT35" s="423"/>
    </row>
    <row r="36" spans="1:72" ht="12.75">
      <c r="A36" s="291" t="s">
        <v>35</v>
      </c>
      <c r="B36" s="298">
        <v>2992000</v>
      </c>
      <c r="C36" s="294">
        <v>0.9718999999999998</v>
      </c>
      <c r="D36" s="607">
        <v>-0.45</v>
      </c>
      <c r="E36" s="294">
        <v>76.45</v>
      </c>
      <c r="F36" s="294">
        <v>0.955</v>
      </c>
      <c r="G36" s="296"/>
      <c r="H36" s="296"/>
      <c r="I36" s="298">
        <v>5111.166666666667</v>
      </c>
      <c r="J36" s="294"/>
      <c r="K36" s="299">
        <v>1.033</v>
      </c>
      <c r="L36" s="299">
        <v>1.141</v>
      </c>
      <c r="M36" s="299">
        <v>1.212</v>
      </c>
      <c r="N36" s="299">
        <v>1.374</v>
      </c>
      <c r="O36" s="299">
        <v>1.429</v>
      </c>
      <c r="P36" s="299">
        <v>1.528</v>
      </c>
      <c r="Q36" s="363"/>
      <c r="R36" s="363"/>
      <c r="S36" s="363"/>
      <c r="T36" s="363"/>
      <c r="U36" s="363"/>
      <c r="V36" s="363"/>
      <c r="W36" s="363"/>
      <c r="X36" s="363"/>
      <c r="Y36" s="363"/>
      <c r="Z36" s="363"/>
      <c r="AA36" s="363"/>
      <c r="AB36" s="363"/>
      <c r="AC36" s="363"/>
      <c r="AD36" s="363"/>
      <c r="AE36" s="238"/>
      <c r="AF36" s="238"/>
      <c r="AG36" s="271"/>
      <c r="AH36" s="272"/>
      <c r="AI36" s="273"/>
      <c r="AJ36" s="40"/>
      <c r="AK36" s="40"/>
      <c r="AL36" s="400"/>
      <c r="AM36" s="406"/>
      <c r="AN36" s="408"/>
      <c r="AO36" s="407"/>
      <c r="AP36" s="413"/>
      <c r="AQ36" s="413"/>
      <c r="AR36" s="413"/>
      <c r="AS36" s="40"/>
      <c r="AT36" s="406"/>
      <c r="AU36" s="408"/>
      <c r="AV36" s="407"/>
      <c r="AW36" s="413"/>
      <c r="AX36" s="413"/>
      <c r="AY36" s="413"/>
      <c r="AZ36" s="40"/>
      <c r="BA36" s="406"/>
      <c r="BB36" s="408"/>
      <c r="BC36" s="407"/>
      <c r="BD36" s="413"/>
      <c r="BE36" s="413"/>
      <c r="BF36" s="413"/>
      <c r="BG36" s="40"/>
      <c r="BH36" s="406"/>
      <c r="BI36" s="408"/>
      <c r="BJ36" s="407"/>
      <c r="BK36" s="413"/>
      <c r="BL36" s="413"/>
      <c r="BM36" s="413"/>
      <c r="BN36" s="40"/>
      <c r="BO36" s="406"/>
      <c r="BP36" s="408"/>
      <c r="BQ36" s="407"/>
      <c r="BR36" s="413"/>
      <c r="BS36" s="413"/>
      <c r="BT36" s="413"/>
    </row>
    <row r="37" spans="1:72" ht="12.75">
      <c r="A37" s="291" t="s">
        <v>51</v>
      </c>
      <c r="B37" s="298">
        <v>33363000</v>
      </c>
      <c r="C37" s="294">
        <v>3.0454000000000003</v>
      </c>
      <c r="D37" s="607">
        <v>-0.15</v>
      </c>
      <c r="E37" s="294">
        <v>71.6</v>
      </c>
      <c r="F37" s="294">
        <v>0.88</v>
      </c>
      <c r="G37" s="296"/>
      <c r="H37" s="296"/>
      <c r="I37" s="298">
        <v>6161</v>
      </c>
      <c r="J37" s="294"/>
      <c r="K37" s="297">
        <v>2.748</v>
      </c>
      <c r="L37" s="297">
        <v>2.564</v>
      </c>
      <c r="M37" s="297">
        <v>2.608</v>
      </c>
      <c r="N37" s="297">
        <v>2.574</v>
      </c>
      <c r="O37" s="297">
        <v>2.503</v>
      </c>
      <c r="P37" s="297">
        <v>2.768</v>
      </c>
      <c r="Q37" s="363"/>
      <c r="R37" s="363"/>
      <c r="S37" s="363"/>
      <c r="T37" s="363"/>
      <c r="U37" s="363"/>
      <c r="V37" s="363"/>
      <c r="W37" s="363"/>
      <c r="X37" s="363"/>
      <c r="Y37" s="363"/>
      <c r="Z37" s="363"/>
      <c r="AA37" s="363"/>
      <c r="AB37" s="363"/>
      <c r="AC37" s="363"/>
      <c r="AD37" s="363"/>
      <c r="AE37" s="238"/>
      <c r="AF37" s="238"/>
      <c r="AG37" s="271"/>
      <c r="AH37" s="272"/>
      <c r="AI37" s="273"/>
      <c r="AJ37" s="40"/>
      <c r="AK37" s="40"/>
      <c r="AL37" s="400"/>
      <c r="AM37" s="406"/>
      <c r="AN37" s="406"/>
      <c r="AO37" s="532"/>
      <c r="AP37" s="533"/>
      <c r="AQ37" s="406"/>
      <c r="AR37" s="406"/>
      <c r="AS37" s="40"/>
      <c r="AT37" s="406"/>
      <c r="AU37" s="406"/>
      <c r="AV37" s="532"/>
      <c r="AW37" s="533"/>
      <c r="AX37" s="406"/>
      <c r="AY37" s="406"/>
      <c r="AZ37" s="40"/>
      <c r="BA37" s="406"/>
      <c r="BB37" s="406"/>
      <c r="BC37" s="532"/>
      <c r="BD37" s="533"/>
      <c r="BE37" s="406"/>
      <c r="BF37" s="406"/>
      <c r="BG37" s="40"/>
      <c r="BH37" s="406"/>
      <c r="BI37" s="406"/>
      <c r="BJ37" s="532"/>
      <c r="BK37" s="533"/>
      <c r="BL37" s="406"/>
      <c r="BM37" s="406"/>
      <c r="BN37" s="40"/>
      <c r="BO37" s="406"/>
      <c r="BP37" s="406"/>
      <c r="BQ37" s="532"/>
      <c r="BR37" s="533"/>
      <c r="BS37" s="406"/>
      <c r="BT37" s="406"/>
    </row>
    <row r="38" spans="1:72" ht="12.75">
      <c r="A38" s="291" t="s">
        <v>152</v>
      </c>
      <c r="B38" s="298">
        <v>12264000</v>
      </c>
      <c r="C38" s="294">
        <v>1.0680999999999998</v>
      </c>
      <c r="D38" s="607">
        <v>-2.25</v>
      </c>
      <c r="E38" s="294">
        <v>39.4</v>
      </c>
      <c r="F38" s="294">
        <v>0.785</v>
      </c>
      <c r="G38" s="296"/>
      <c r="H38" s="296"/>
      <c r="I38" s="298">
        <v>2797.8333333333335</v>
      </c>
      <c r="J38" s="294"/>
      <c r="K38" s="297">
        <v>1.256</v>
      </c>
      <c r="L38" s="297">
        <v>1.422</v>
      </c>
      <c r="M38" s="297">
        <v>1.454</v>
      </c>
      <c r="N38" s="297">
        <v>1.71</v>
      </c>
      <c r="O38" s="297">
        <v>1.74</v>
      </c>
      <c r="P38" s="297">
        <v>1.738</v>
      </c>
      <c r="Q38" s="363"/>
      <c r="R38" s="363"/>
      <c r="S38" s="363"/>
      <c r="T38" s="363"/>
      <c r="U38" s="363"/>
      <c r="V38" s="363"/>
      <c r="W38" s="363"/>
      <c r="X38" s="363"/>
      <c r="Y38" s="363"/>
      <c r="Z38" s="363"/>
      <c r="AA38" s="363"/>
      <c r="AB38" s="363"/>
      <c r="AC38" s="363"/>
      <c r="AD38" s="363"/>
      <c r="AE38" s="238"/>
      <c r="AF38" s="238"/>
      <c r="AG38" s="271"/>
      <c r="AH38" s="272"/>
      <c r="AI38" s="273"/>
      <c r="AJ38" s="40"/>
      <c r="AK38" s="40"/>
      <c r="AL38" s="400"/>
      <c r="AM38" s="338"/>
      <c r="AN38" s="534"/>
      <c r="AO38" s="338"/>
      <c r="AP38" s="338"/>
      <c r="AQ38" s="338"/>
      <c r="AR38" s="338"/>
      <c r="AS38" s="40"/>
      <c r="AT38" s="338"/>
      <c r="AU38" s="534"/>
      <c r="AV38" s="338"/>
      <c r="AW38" s="338"/>
      <c r="AX38" s="338"/>
      <c r="AY38" s="338"/>
      <c r="AZ38" s="40"/>
      <c r="BA38" s="338"/>
      <c r="BB38" s="534"/>
      <c r="BC38" s="338"/>
      <c r="BD38" s="338"/>
      <c r="BE38" s="338"/>
      <c r="BF38" s="338"/>
      <c r="BG38" s="40"/>
      <c r="BH38" s="338"/>
      <c r="BI38" s="534"/>
      <c r="BJ38" s="338"/>
      <c r="BK38" s="338"/>
      <c r="BL38" s="338"/>
      <c r="BM38" s="338"/>
      <c r="BN38" s="40"/>
      <c r="BO38" s="338"/>
      <c r="BP38" s="534"/>
      <c r="BQ38" s="338"/>
      <c r="BR38" s="338"/>
      <c r="BS38" s="338"/>
      <c r="BT38" s="338"/>
    </row>
    <row r="39" spans="1:72" ht="12.75">
      <c r="A39" s="291" t="s">
        <v>39</v>
      </c>
      <c r="B39" s="298">
        <v>83000</v>
      </c>
      <c r="C39" s="294">
        <v>6.7142</v>
      </c>
      <c r="D39" s="607">
        <v>-0.75</v>
      </c>
      <c r="E39" s="294">
        <v>81.37018389741016</v>
      </c>
      <c r="F39" s="305"/>
      <c r="G39" s="296"/>
      <c r="H39" s="296"/>
      <c r="I39" s="298">
        <v>16103.333333333334</v>
      </c>
      <c r="J39" s="294"/>
      <c r="K39" s="299">
        <v>6.781</v>
      </c>
      <c r="L39" s="299">
        <v>6.679</v>
      </c>
      <c r="M39" s="299">
        <v>6.597</v>
      </c>
      <c r="N39" s="299">
        <v>6.907</v>
      </c>
      <c r="O39" s="299">
        <v>7.391</v>
      </c>
      <c r="P39" s="299">
        <v>7.959</v>
      </c>
      <c r="Q39" s="363"/>
      <c r="R39" s="363"/>
      <c r="S39" s="363"/>
      <c r="T39" s="363"/>
      <c r="U39" s="363"/>
      <c r="V39" s="363"/>
      <c r="W39" s="363"/>
      <c r="X39" s="363"/>
      <c r="Y39" s="363"/>
      <c r="Z39" s="363"/>
      <c r="AA39" s="363"/>
      <c r="AB39" s="363"/>
      <c r="AC39" s="363"/>
      <c r="AD39" s="363"/>
      <c r="AE39" s="238"/>
      <c r="AF39" s="238"/>
      <c r="AG39" s="271"/>
      <c r="AH39" s="272"/>
      <c r="AI39" s="273"/>
      <c r="AJ39" s="40"/>
      <c r="AK39" s="40"/>
      <c r="AL39" s="400"/>
      <c r="AM39" s="414"/>
      <c r="AN39" s="415"/>
      <c r="AO39" s="416"/>
      <c r="AP39" s="414"/>
      <c r="AQ39" s="414"/>
      <c r="AR39" s="414"/>
      <c r="AS39" s="40"/>
      <c r="AT39" s="414"/>
      <c r="AU39" s="415"/>
      <c r="AV39" s="416"/>
      <c r="AW39" s="414"/>
      <c r="AX39" s="414"/>
      <c r="AY39" s="414"/>
      <c r="AZ39" s="40"/>
      <c r="BA39" s="414"/>
      <c r="BB39" s="415"/>
      <c r="BC39" s="416"/>
      <c r="BD39" s="414"/>
      <c r="BE39" s="414"/>
      <c r="BF39" s="414"/>
      <c r="BG39" s="40"/>
      <c r="BH39" s="414"/>
      <c r="BI39" s="415"/>
      <c r="BJ39" s="416"/>
      <c r="BK39" s="414"/>
      <c r="BL39" s="414"/>
      <c r="BM39" s="414"/>
      <c r="BN39" s="40"/>
      <c r="BO39" s="414"/>
      <c r="BP39" s="415"/>
      <c r="BQ39" s="416"/>
      <c r="BR39" s="414"/>
      <c r="BS39" s="414"/>
      <c r="BT39" s="414"/>
    </row>
    <row r="40" spans="1:72" ht="12.75">
      <c r="A40" s="291" t="s">
        <v>75</v>
      </c>
      <c r="B40" s="298">
        <v>40049000</v>
      </c>
      <c r="C40" s="294">
        <v>3.4592</v>
      </c>
      <c r="D40" s="607">
        <v>-2.25</v>
      </c>
      <c r="E40" s="294">
        <v>79.75</v>
      </c>
      <c r="F40" s="294">
        <v>1.72</v>
      </c>
      <c r="G40" s="296">
        <v>0.04830599095806601</v>
      </c>
      <c r="H40" s="296">
        <v>0.03755815792321073</v>
      </c>
      <c r="I40" s="298">
        <v>9181</v>
      </c>
      <c r="J40" s="294"/>
      <c r="K40" s="299">
        <v>3.706</v>
      </c>
      <c r="L40" s="299">
        <v>3.405</v>
      </c>
      <c r="M40" s="299">
        <v>3.189</v>
      </c>
      <c r="N40" s="299">
        <v>3.5</v>
      </c>
      <c r="O40" s="299">
        <v>3.635</v>
      </c>
      <c r="P40" s="299">
        <v>3.876</v>
      </c>
      <c r="Q40" s="363"/>
      <c r="R40" s="363"/>
      <c r="S40" s="363"/>
      <c r="T40" s="363"/>
      <c r="U40" s="363"/>
      <c r="V40" s="363"/>
      <c r="W40" s="363"/>
      <c r="X40" s="363"/>
      <c r="Y40" s="363"/>
      <c r="Z40" s="363"/>
      <c r="AA40" s="363"/>
      <c r="AB40" s="363"/>
      <c r="AC40" s="363"/>
      <c r="AD40" s="363"/>
      <c r="AE40" s="238"/>
      <c r="AF40" s="238"/>
      <c r="AG40" s="271"/>
      <c r="AH40" s="272"/>
      <c r="AI40" s="273"/>
      <c r="AJ40" s="40"/>
      <c r="AK40" s="40"/>
      <c r="AL40" s="400"/>
      <c r="AM40" s="406"/>
      <c r="AN40" s="408"/>
      <c r="AO40" s="407"/>
      <c r="AP40" s="413"/>
      <c r="AQ40" s="413"/>
      <c r="AR40" s="413"/>
      <c r="AS40" s="40"/>
      <c r="AT40" s="406"/>
      <c r="AU40" s="408"/>
      <c r="AV40" s="407"/>
      <c r="AW40" s="413"/>
      <c r="AX40" s="413"/>
      <c r="AY40" s="413"/>
      <c r="AZ40" s="40"/>
      <c r="BA40" s="406"/>
      <c r="BB40" s="408"/>
      <c r="BC40" s="407"/>
      <c r="BD40" s="413"/>
      <c r="BE40" s="413"/>
      <c r="BF40" s="413"/>
      <c r="BG40" s="40"/>
      <c r="BH40" s="406"/>
      <c r="BI40" s="408"/>
      <c r="BJ40" s="407"/>
      <c r="BK40" s="413"/>
      <c r="BL40" s="413"/>
      <c r="BM40" s="413"/>
      <c r="BN40" s="40"/>
      <c r="BO40" s="406"/>
      <c r="BP40" s="408"/>
      <c r="BQ40" s="407"/>
      <c r="BR40" s="413"/>
      <c r="BS40" s="413"/>
      <c r="BT40" s="413"/>
    </row>
    <row r="41" spans="1:72" ht="12.75">
      <c r="A41" s="291" t="s">
        <v>80</v>
      </c>
      <c r="B41" s="298">
        <v>2972000</v>
      </c>
      <c r="C41" s="294">
        <v>2.51625</v>
      </c>
      <c r="D41" s="607">
        <v>-3.45</v>
      </c>
      <c r="E41" s="294">
        <v>70.8</v>
      </c>
      <c r="F41" s="294">
        <v>0.755</v>
      </c>
      <c r="G41" s="296">
        <v>0.07111508452535761</v>
      </c>
      <c r="H41" s="296">
        <v>0.1822566173171826</v>
      </c>
      <c r="I41" s="298">
        <v>2934.6666666666665</v>
      </c>
      <c r="J41" s="294"/>
      <c r="K41" s="297">
        <v>2.83</v>
      </c>
      <c r="L41" s="297">
        <v>2.899</v>
      </c>
      <c r="M41" s="297">
        <v>2.786</v>
      </c>
      <c r="N41" s="297">
        <v>3.006</v>
      </c>
      <c r="O41" s="297">
        <v>3.07</v>
      </c>
      <c r="P41" s="297">
        <v>3.473</v>
      </c>
      <c r="Q41" s="363"/>
      <c r="R41" s="363"/>
      <c r="S41" s="363"/>
      <c r="T41" s="363"/>
      <c r="U41" s="363"/>
      <c r="V41" s="363"/>
      <c r="W41" s="363"/>
      <c r="X41" s="363"/>
      <c r="Y41" s="363"/>
      <c r="Z41" s="363"/>
      <c r="AA41" s="363"/>
      <c r="AB41" s="363"/>
      <c r="AC41" s="363"/>
      <c r="AD41" s="363"/>
      <c r="AE41" s="238"/>
      <c r="AF41" s="238"/>
      <c r="AG41" s="271"/>
      <c r="AH41" s="272"/>
      <c r="AI41" s="273"/>
      <c r="AJ41" s="40"/>
      <c r="AK41" s="40"/>
      <c r="AL41" s="400"/>
      <c r="AM41" s="406"/>
      <c r="AN41" s="408"/>
      <c r="AO41" s="407"/>
      <c r="AP41" s="410"/>
      <c r="AQ41" s="424"/>
      <c r="AR41" s="424"/>
      <c r="AS41" s="40"/>
      <c r="AT41" s="406"/>
      <c r="AU41" s="408"/>
      <c r="AV41" s="407"/>
      <c r="AW41" s="410"/>
      <c r="AX41" s="424"/>
      <c r="AY41" s="424"/>
      <c r="AZ41" s="40"/>
      <c r="BA41" s="406"/>
      <c r="BB41" s="408"/>
      <c r="BC41" s="407"/>
      <c r="BD41" s="410"/>
      <c r="BE41" s="424"/>
      <c r="BF41" s="424"/>
      <c r="BG41" s="40"/>
      <c r="BH41" s="406"/>
      <c r="BI41" s="408"/>
      <c r="BJ41" s="407"/>
      <c r="BK41" s="410"/>
      <c r="BL41" s="424"/>
      <c r="BM41" s="424"/>
      <c r="BN41" s="40"/>
      <c r="BO41" s="406"/>
      <c r="BP41" s="408"/>
      <c r="BQ41" s="407"/>
      <c r="BR41" s="410"/>
      <c r="BS41" s="424"/>
      <c r="BT41" s="424"/>
    </row>
    <row r="42" spans="1:72" ht="12.75">
      <c r="A42" s="291" t="s">
        <v>160</v>
      </c>
      <c r="B42" s="293">
        <v>100000</v>
      </c>
      <c r="C42" s="294">
        <v>9.719400000000002</v>
      </c>
      <c r="D42" s="606">
        <v>0</v>
      </c>
      <c r="E42" s="305"/>
      <c r="F42" s="305"/>
      <c r="G42" s="295"/>
      <c r="H42" s="295"/>
      <c r="I42" s="308"/>
      <c r="J42" s="294"/>
      <c r="K42" s="299">
        <v>10.642</v>
      </c>
      <c r="L42" s="299">
        <v>10.527</v>
      </c>
      <c r="M42" s="299">
        <v>10.391</v>
      </c>
      <c r="N42" s="299">
        <v>10.851</v>
      </c>
      <c r="O42" s="299">
        <v>10.77</v>
      </c>
      <c r="P42" s="299">
        <v>10.812</v>
      </c>
      <c r="Q42" s="363"/>
      <c r="R42" s="363"/>
      <c r="S42" s="363"/>
      <c r="T42" s="363"/>
      <c r="U42" s="363"/>
      <c r="V42" s="363"/>
      <c r="W42" s="363"/>
      <c r="X42" s="363"/>
      <c r="Y42" s="363"/>
      <c r="Z42" s="363"/>
      <c r="AA42" s="363"/>
      <c r="AB42" s="363"/>
      <c r="AC42" s="363"/>
      <c r="AD42" s="363"/>
      <c r="AE42" s="238"/>
      <c r="AF42" s="238"/>
      <c r="AG42" s="271"/>
      <c r="AH42" s="272"/>
      <c r="AI42" s="273"/>
      <c r="AJ42" s="40"/>
      <c r="AK42" s="40"/>
      <c r="AL42" s="400"/>
      <c r="AM42" s="406"/>
      <c r="AN42" s="408"/>
      <c r="AO42" s="407"/>
      <c r="AP42" s="413"/>
      <c r="AQ42" s="413"/>
      <c r="AR42" s="413"/>
      <c r="AS42" s="40"/>
      <c r="AT42" s="406"/>
      <c r="AU42" s="408"/>
      <c r="AV42" s="407"/>
      <c r="AW42" s="413"/>
      <c r="AX42" s="413"/>
      <c r="AY42" s="413"/>
      <c r="AZ42" s="40"/>
      <c r="BA42" s="406"/>
      <c r="BB42" s="408"/>
      <c r="BC42" s="407"/>
      <c r="BD42" s="413"/>
      <c r="BE42" s="413"/>
      <c r="BF42" s="413"/>
      <c r="BG42" s="40"/>
      <c r="BH42" s="406"/>
      <c r="BI42" s="408"/>
      <c r="BJ42" s="407"/>
      <c r="BK42" s="413"/>
      <c r="BL42" s="413"/>
      <c r="BM42" s="413"/>
      <c r="BN42" s="40"/>
      <c r="BO42" s="406"/>
      <c r="BP42" s="408"/>
      <c r="BQ42" s="407"/>
      <c r="BR42" s="413"/>
      <c r="BS42" s="413"/>
      <c r="BT42" s="413"/>
    </row>
    <row r="43" spans="1:72" ht="12.75">
      <c r="A43" s="291" t="s">
        <v>59</v>
      </c>
      <c r="B43" s="298">
        <v>20750000</v>
      </c>
      <c r="C43" s="294">
        <v>16.6765</v>
      </c>
      <c r="D43" s="607">
        <v>-0.15</v>
      </c>
      <c r="E43" s="294">
        <v>79.95</v>
      </c>
      <c r="F43" s="294">
        <v>4.505</v>
      </c>
      <c r="G43" s="300"/>
      <c r="H43" s="300"/>
      <c r="I43" s="293">
        <v>29499.333333333332</v>
      </c>
      <c r="J43" s="294"/>
      <c r="K43" s="297">
        <v>18.701</v>
      </c>
      <c r="L43" s="297">
        <v>19.18</v>
      </c>
      <c r="M43" s="297">
        <v>19.175</v>
      </c>
      <c r="N43" s="297">
        <v>19.026</v>
      </c>
      <c r="O43" s="297">
        <v>19.398</v>
      </c>
      <c r="P43" s="297">
        <v>19.633</v>
      </c>
      <c r="Q43" s="363"/>
      <c r="R43" s="363"/>
      <c r="S43" s="363"/>
      <c r="T43" s="363"/>
      <c r="U43" s="363"/>
      <c r="V43" s="363"/>
      <c r="W43" s="363"/>
      <c r="X43" s="363"/>
      <c r="Y43" s="363"/>
      <c r="Z43" s="363"/>
      <c r="AA43" s="363"/>
      <c r="AB43" s="363"/>
      <c r="AC43" s="363"/>
      <c r="AD43" s="363"/>
      <c r="AE43" s="238"/>
      <c r="AF43" s="238"/>
      <c r="AG43" s="271"/>
      <c r="AH43" s="272"/>
      <c r="AI43" s="273"/>
      <c r="AJ43" s="40"/>
      <c r="AK43" s="40"/>
      <c r="AL43" s="400"/>
      <c r="AM43" s="406"/>
      <c r="AN43" s="408"/>
      <c r="AO43" s="407"/>
      <c r="AP43" s="422"/>
      <c r="AQ43" s="423"/>
      <c r="AR43" s="423"/>
      <c r="AS43" s="40"/>
      <c r="AT43" s="406"/>
      <c r="AU43" s="408"/>
      <c r="AV43" s="407"/>
      <c r="AW43" s="422"/>
      <c r="AX43" s="423"/>
      <c r="AY43" s="423"/>
      <c r="AZ43" s="40"/>
      <c r="BA43" s="406"/>
      <c r="BB43" s="408"/>
      <c r="BC43" s="407"/>
      <c r="BD43" s="422"/>
      <c r="BE43" s="423"/>
      <c r="BF43" s="423"/>
      <c r="BG43" s="40"/>
      <c r="BH43" s="406"/>
      <c r="BI43" s="408"/>
      <c r="BJ43" s="407"/>
      <c r="BK43" s="422"/>
      <c r="BL43" s="423"/>
      <c r="BM43" s="423"/>
      <c r="BN43" s="40"/>
      <c r="BO43" s="406"/>
      <c r="BP43" s="408"/>
      <c r="BQ43" s="407"/>
      <c r="BR43" s="422"/>
      <c r="BS43" s="423"/>
      <c r="BT43" s="423"/>
    </row>
    <row r="44" spans="1:72" ht="12.75">
      <c r="A44" s="291" t="s">
        <v>23</v>
      </c>
      <c r="B44" s="293">
        <v>8200000</v>
      </c>
      <c r="C44" s="294">
        <v>7.6324</v>
      </c>
      <c r="D44" s="607">
        <v>1.5</v>
      </c>
      <c r="E44" s="294">
        <v>87.3</v>
      </c>
      <c r="F44" s="294">
        <v>2.005</v>
      </c>
      <c r="G44" s="300"/>
      <c r="H44" s="300"/>
      <c r="I44" s="293">
        <v>31029.333333333332</v>
      </c>
      <c r="J44" s="294"/>
      <c r="K44" s="299">
        <v>7.978</v>
      </c>
      <c r="L44" s="299">
        <v>8.445</v>
      </c>
      <c r="M44" s="299">
        <v>8.794</v>
      </c>
      <c r="N44" s="299">
        <v>9.226</v>
      </c>
      <c r="O44" s="299">
        <v>9.376</v>
      </c>
      <c r="P44" s="299">
        <v>9.617</v>
      </c>
      <c r="Q44" s="363"/>
      <c r="R44" s="363"/>
      <c r="S44" s="363"/>
      <c r="T44" s="363"/>
      <c r="U44" s="363"/>
      <c r="V44" s="363"/>
      <c r="W44" s="363"/>
      <c r="X44" s="363"/>
      <c r="Y44" s="363"/>
      <c r="Z44" s="363"/>
      <c r="AA44" s="363"/>
      <c r="AB44" s="363"/>
      <c r="AC44" s="363"/>
      <c r="AD44" s="363"/>
      <c r="AE44" s="238"/>
      <c r="AF44" s="238"/>
      <c r="AG44" s="271"/>
      <c r="AH44" s="272"/>
      <c r="AI44" s="273"/>
      <c r="AJ44" s="40"/>
      <c r="AK44" s="40"/>
      <c r="AL44" s="400"/>
      <c r="AM44" s="406"/>
      <c r="AN44" s="408"/>
      <c r="AO44" s="407"/>
      <c r="AP44" s="413"/>
      <c r="AQ44" s="413"/>
      <c r="AR44" s="413"/>
      <c r="AS44" s="40"/>
      <c r="AT44" s="406"/>
      <c r="AU44" s="408"/>
      <c r="AV44" s="407"/>
      <c r="AW44" s="413"/>
      <c r="AX44" s="413"/>
      <c r="AY44" s="413"/>
      <c r="AZ44" s="40"/>
      <c r="BA44" s="406"/>
      <c r="BB44" s="408"/>
      <c r="BC44" s="407"/>
      <c r="BD44" s="413"/>
      <c r="BE44" s="413"/>
      <c r="BF44" s="413"/>
      <c r="BG44" s="40"/>
      <c r="BH44" s="406"/>
      <c r="BI44" s="408"/>
      <c r="BJ44" s="407"/>
      <c r="BK44" s="413"/>
      <c r="BL44" s="413"/>
      <c r="BM44" s="413"/>
      <c r="BN44" s="40"/>
      <c r="BO44" s="406"/>
      <c r="BP44" s="408"/>
      <c r="BQ44" s="407"/>
      <c r="BR44" s="413"/>
      <c r="BS44" s="413"/>
      <c r="BT44" s="413"/>
    </row>
    <row r="45" spans="1:72" ht="12.75">
      <c r="A45" s="291" t="s">
        <v>87</v>
      </c>
      <c r="B45" s="293">
        <v>8120000</v>
      </c>
      <c r="C45" s="294">
        <v>6.19275</v>
      </c>
      <c r="D45" s="607">
        <v>0</v>
      </c>
      <c r="E45" s="294">
        <v>63.95</v>
      </c>
      <c r="F45" s="294">
        <v>0.805</v>
      </c>
      <c r="G45" s="300"/>
      <c r="H45" s="300"/>
      <c r="I45" s="293">
        <v>3080.6666666666665</v>
      </c>
      <c r="J45" s="294"/>
      <c r="K45" s="297">
        <v>5.604</v>
      </c>
      <c r="L45" s="297">
        <v>3.979</v>
      </c>
      <c r="M45" s="297">
        <v>4.336</v>
      </c>
      <c r="N45" s="297">
        <v>4.278</v>
      </c>
      <c r="O45" s="297">
        <v>4.497</v>
      </c>
      <c r="P45" s="297">
        <v>4.628</v>
      </c>
      <c r="Q45" s="363"/>
      <c r="R45" s="363"/>
      <c r="S45" s="363"/>
      <c r="T45" s="363"/>
      <c r="U45" s="363"/>
      <c r="V45" s="363"/>
      <c r="W45" s="363"/>
      <c r="X45" s="363"/>
      <c r="Y45" s="363"/>
      <c r="Z45" s="363"/>
      <c r="AA45" s="363"/>
      <c r="AB45" s="363"/>
      <c r="AC45" s="363"/>
      <c r="AD45" s="363"/>
      <c r="AE45" s="238"/>
      <c r="AF45" s="238"/>
      <c r="AG45" s="271"/>
      <c r="AH45" s="272"/>
      <c r="AI45" s="273"/>
      <c r="AJ45" s="40"/>
      <c r="AK45" s="40"/>
      <c r="AL45" s="400"/>
      <c r="AM45" s="406"/>
      <c r="AN45" s="408"/>
      <c r="AO45" s="407"/>
      <c r="AP45" s="425"/>
      <c r="AQ45" s="423"/>
      <c r="AR45" s="423"/>
      <c r="AS45" s="40"/>
      <c r="AT45" s="406"/>
      <c r="AU45" s="408"/>
      <c r="AV45" s="407"/>
      <c r="AW45" s="425"/>
      <c r="AX45" s="423"/>
      <c r="AY45" s="423"/>
      <c r="AZ45" s="40"/>
      <c r="BA45" s="406"/>
      <c r="BB45" s="408"/>
      <c r="BC45" s="407"/>
      <c r="BD45" s="425"/>
      <c r="BE45" s="423"/>
      <c r="BF45" s="423"/>
      <c r="BG45" s="40"/>
      <c r="BH45" s="406"/>
      <c r="BI45" s="408"/>
      <c r="BJ45" s="407"/>
      <c r="BK45" s="425"/>
      <c r="BL45" s="423"/>
      <c r="BM45" s="423"/>
      <c r="BN45" s="40"/>
      <c r="BO45" s="406"/>
      <c r="BP45" s="408"/>
      <c r="BQ45" s="407"/>
      <c r="BR45" s="425"/>
      <c r="BS45" s="423"/>
      <c r="BT45" s="423"/>
    </row>
    <row r="46" spans="1:72" ht="12.75">
      <c r="A46" s="291" t="s">
        <v>167</v>
      </c>
      <c r="B46" s="293">
        <v>302000</v>
      </c>
      <c r="C46" s="294">
        <v>11.648500000000002</v>
      </c>
      <c r="D46" s="606">
        <v>0</v>
      </c>
      <c r="E46" s="305"/>
      <c r="F46" s="305"/>
      <c r="G46" s="295"/>
      <c r="H46" s="295"/>
      <c r="I46" s="293">
        <v>29099.333333333332</v>
      </c>
      <c r="J46" s="294"/>
      <c r="K46" s="299">
        <v>12.389</v>
      </c>
      <c r="L46" s="299">
        <v>11.984</v>
      </c>
      <c r="M46" s="299">
        <v>11.854</v>
      </c>
      <c r="N46" s="299">
        <v>14.369</v>
      </c>
      <c r="O46" s="299">
        <v>14.455</v>
      </c>
      <c r="P46" s="299">
        <v>16.563</v>
      </c>
      <c r="Q46" s="363"/>
      <c r="R46" s="363"/>
      <c r="S46" s="363"/>
      <c r="T46" s="363"/>
      <c r="U46" s="363"/>
      <c r="V46" s="363"/>
      <c r="W46" s="363"/>
      <c r="X46" s="363"/>
      <c r="Y46" s="363"/>
      <c r="Z46" s="363"/>
      <c r="AA46" s="363"/>
      <c r="AB46" s="363"/>
      <c r="AC46" s="363"/>
      <c r="AD46" s="363"/>
      <c r="AE46" s="238"/>
      <c r="AF46" s="238"/>
      <c r="AG46" s="271"/>
      <c r="AH46" s="272"/>
      <c r="AI46" s="273"/>
      <c r="AJ46" s="40"/>
      <c r="AK46" s="40"/>
      <c r="AL46" s="400"/>
      <c r="AM46" s="406"/>
      <c r="AN46" s="408"/>
      <c r="AO46" s="407"/>
      <c r="AP46" s="413"/>
      <c r="AQ46" s="413"/>
      <c r="AR46" s="413"/>
      <c r="AS46" s="40"/>
      <c r="AT46" s="406"/>
      <c r="AU46" s="408"/>
      <c r="AV46" s="407"/>
      <c r="AW46" s="413"/>
      <c r="AX46" s="413"/>
      <c r="AY46" s="413"/>
      <c r="AZ46" s="40"/>
      <c r="BA46" s="406"/>
      <c r="BB46" s="408"/>
      <c r="BC46" s="407"/>
      <c r="BD46" s="413"/>
      <c r="BE46" s="413"/>
      <c r="BF46" s="413"/>
      <c r="BG46" s="40"/>
      <c r="BH46" s="406"/>
      <c r="BI46" s="408"/>
      <c r="BJ46" s="407"/>
      <c r="BK46" s="413"/>
      <c r="BL46" s="413"/>
      <c r="BM46" s="413"/>
      <c r="BN46" s="40"/>
      <c r="BO46" s="406"/>
      <c r="BP46" s="408"/>
      <c r="BQ46" s="407"/>
      <c r="BR46" s="413"/>
      <c r="BS46" s="413"/>
      <c r="BT46" s="413"/>
    </row>
    <row r="47" spans="1:74" ht="12.75">
      <c r="A47" s="291" t="s">
        <v>0</v>
      </c>
      <c r="B47" s="293">
        <v>709000</v>
      </c>
      <c r="C47" s="294">
        <v>29.2779</v>
      </c>
      <c r="D47" s="607">
        <v>0</v>
      </c>
      <c r="E47" s="294">
        <v>48.96200177208061</v>
      </c>
      <c r="F47" s="305"/>
      <c r="G47" s="300"/>
      <c r="H47" s="300"/>
      <c r="I47" s="293">
        <v>24756</v>
      </c>
      <c r="J47" s="294"/>
      <c r="K47" s="297">
        <v>31.932</v>
      </c>
      <c r="L47" s="297">
        <v>32.196</v>
      </c>
      <c r="M47" s="297">
        <v>33.257</v>
      </c>
      <c r="N47" s="297">
        <v>33.61</v>
      </c>
      <c r="O47" s="297">
        <v>34.104</v>
      </c>
      <c r="P47" s="297">
        <v>36.663</v>
      </c>
      <c r="Q47" s="363"/>
      <c r="R47" s="363"/>
      <c r="S47" s="363"/>
      <c r="T47" s="363"/>
      <c r="U47" s="363"/>
      <c r="V47" s="363"/>
      <c r="W47" s="363"/>
      <c r="X47" s="363"/>
      <c r="Y47" s="363"/>
      <c r="Z47" s="363"/>
      <c r="AA47" s="363"/>
      <c r="AB47" s="363"/>
      <c r="AC47" s="363"/>
      <c r="AD47" s="363"/>
      <c r="AE47" s="238"/>
      <c r="AF47" s="238"/>
      <c r="AG47" s="271"/>
      <c r="AH47" s="272"/>
      <c r="AI47" s="273"/>
      <c r="AJ47" s="40"/>
      <c r="AK47" s="40"/>
      <c r="AL47" s="400"/>
      <c r="AM47" s="406"/>
      <c r="AN47" s="408"/>
      <c r="AO47" s="407"/>
      <c r="AP47" s="410"/>
      <c r="AQ47" s="423"/>
      <c r="AR47" s="423"/>
      <c r="AS47" s="40"/>
      <c r="AT47" s="406"/>
      <c r="AU47" s="408"/>
      <c r="AV47" s="407"/>
      <c r="AW47" s="410"/>
      <c r="AX47" s="423"/>
      <c r="AY47" s="423"/>
      <c r="AZ47" s="40"/>
      <c r="BA47" s="406"/>
      <c r="BB47" s="408"/>
      <c r="BC47" s="407"/>
      <c r="BD47" s="410"/>
      <c r="BE47" s="423"/>
      <c r="BF47" s="423"/>
      <c r="BG47" s="40"/>
      <c r="BH47" s="406"/>
      <c r="BI47" s="408"/>
      <c r="BJ47" s="407"/>
      <c r="BK47" s="410"/>
      <c r="BL47" s="423"/>
      <c r="BM47" s="423"/>
      <c r="BN47" s="40"/>
      <c r="BO47" s="406"/>
      <c r="BP47" s="408"/>
      <c r="BQ47" s="407"/>
      <c r="BR47" s="410"/>
      <c r="BS47" s="423"/>
      <c r="BT47" s="423"/>
      <c r="BV47" s="31"/>
    </row>
    <row r="48" spans="1:74" ht="12.75">
      <c r="A48" s="291" t="s">
        <v>133</v>
      </c>
      <c r="B48" s="293">
        <v>148894000</v>
      </c>
      <c r="C48" s="294">
        <v>0.16720000000000002</v>
      </c>
      <c r="D48" s="607">
        <v>-0.45</v>
      </c>
      <c r="E48" s="294">
        <v>50.75</v>
      </c>
      <c r="F48" s="294">
        <v>0.44</v>
      </c>
      <c r="G48" s="300"/>
      <c r="H48" s="300"/>
      <c r="I48" s="293">
        <v>993.8333333333334</v>
      </c>
      <c r="J48" s="294"/>
      <c r="K48" s="297">
        <v>0.222</v>
      </c>
      <c r="L48" s="297">
        <v>0.242</v>
      </c>
      <c r="M48" s="297">
        <v>0.25</v>
      </c>
      <c r="N48" s="297">
        <v>0.265</v>
      </c>
      <c r="O48" s="297">
        <v>0.274</v>
      </c>
      <c r="P48" s="297">
        <v>0.284</v>
      </c>
      <c r="Q48" s="363"/>
      <c r="R48" s="363"/>
      <c r="S48" s="363"/>
      <c r="T48" s="363"/>
      <c r="U48" s="363"/>
      <c r="V48" s="363"/>
      <c r="W48" s="363"/>
      <c r="X48" s="363"/>
      <c r="Y48" s="363"/>
      <c r="Z48" s="363"/>
      <c r="AA48" s="363"/>
      <c r="AB48" s="363"/>
      <c r="AC48" s="363"/>
      <c r="AD48" s="363"/>
      <c r="AE48" s="238"/>
      <c r="AF48" s="238"/>
      <c r="AG48" s="271"/>
      <c r="AH48" s="272"/>
      <c r="AI48" s="273"/>
      <c r="AJ48" s="40"/>
      <c r="AK48" s="40"/>
      <c r="AL48" s="400"/>
      <c r="AM48" s="406"/>
      <c r="AN48" s="408"/>
      <c r="AO48" s="407"/>
      <c r="AP48" s="413"/>
      <c r="AQ48" s="413"/>
      <c r="AR48" s="413"/>
      <c r="AS48" s="40"/>
      <c r="AT48" s="406"/>
      <c r="AU48" s="408"/>
      <c r="AV48" s="407"/>
      <c r="AW48" s="413"/>
      <c r="AX48" s="413"/>
      <c r="AY48" s="413"/>
      <c r="AZ48" s="40"/>
      <c r="BA48" s="406"/>
      <c r="BB48" s="408"/>
      <c r="BC48" s="407"/>
      <c r="BD48" s="413"/>
      <c r="BE48" s="413"/>
      <c r="BF48" s="413"/>
      <c r="BG48" s="40"/>
      <c r="BH48" s="406"/>
      <c r="BI48" s="408"/>
      <c r="BJ48" s="407"/>
      <c r="BK48" s="413"/>
      <c r="BL48" s="413"/>
      <c r="BM48" s="413"/>
      <c r="BN48" s="40"/>
      <c r="BO48" s="406"/>
      <c r="BP48" s="408"/>
      <c r="BQ48" s="407"/>
      <c r="BR48" s="413"/>
      <c r="BS48" s="413"/>
      <c r="BT48" s="413"/>
      <c r="BV48" s="31"/>
    </row>
    <row r="49" spans="1:74" ht="12.75">
      <c r="A49" s="291" t="s">
        <v>170</v>
      </c>
      <c r="B49" s="293">
        <v>282000</v>
      </c>
      <c r="C49" s="294">
        <v>5.0157</v>
      </c>
      <c r="D49" s="606">
        <v>0</v>
      </c>
      <c r="E49" s="305"/>
      <c r="F49" s="305"/>
      <c r="G49" s="295"/>
      <c r="H49" s="295"/>
      <c r="I49" s="596">
        <v>16281.5</v>
      </c>
      <c r="J49" s="294"/>
      <c r="K49" s="297">
        <v>4.963</v>
      </c>
      <c r="L49" s="297">
        <v>4.98</v>
      </c>
      <c r="M49" s="297">
        <v>5.102</v>
      </c>
      <c r="N49" s="297">
        <v>5.102</v>
      </c>
      <c r="O49" s="297">
        <v>4.771</v>
      </c>
      <c r="P49" s="297">
        <v>4.991</v>
      </c>
      <c r="Q49" s="363"/>
      <c r="R49" s="363"/>
      <c r="S49" s="363"/>
      <c r="T49" s="363"/>
      <c r="U49" s="363"/>
      <c r="V49" s="363"/>
      <c r="W49" s="363"/>
      <c r="X49" s="363"/>
      <c r="Y49" s="363"/>
      <c r="Z49" s="363"/>
      <c r="AA49" s="363"/>
      <c r="AB49" s="363"/>
      <c r="AC49" s="363"/>
      <c r="AD49" s="363"/>
      <c r="AE49" s="238"/>
      <c r="AF49" s="238"/>
      <c r="AG49" s="271"/>
      <c r="AH49" s="272"/>
      <c r="AI49" s="273"/>
      <c r="AJ49" s="40"/>
      <c r="AK49" s="40"/>
      <c r="AL49" s="400"/>
      <c r="AM49" s="406"/>
      <c r="AN49" s="406"/>
      <c r="AO49" s="532"/>
      <c r="AP49" s="533"/>
      <c r="AQ49" s="406"/>
      <c r="AR49" s="406"/>
      <c r="AS49" s="6"/>
      <c r="AT49" s="406"/>
      <c r="AU49" s="406"/>
      <c r="AV49" s="532"/>
      <c r="AW49" s="533"/>
      <c r="AX49" s="406"/>
      <c r="AY49" s="406"/>
      <c r="AZ49" s="40"/>
      <c r="BA49" s="406"/>
      <c r="BB49" s="406"/>
      <c r="BC49" s="532"/>
      <c r="BD49" s="533"/>
      <c r="BE49" s="406"/>
      <c r="BF49" s="406"/>
      <c r="BG49" s="40"/>
      <c r="BH49" s="406"/>
      <c r="BI49" s="406"/>
      <c r="BJ49" s="532"/>
      <c r="BK49" s="533"/>
      <c r="BL49" s="406"/>
      <c r="BM49" s="406"/>
      <c r="BN49" s="40"/>
      <c r="BO49" s="406"/>
      <c r="BP49" s="406"/>
      <c r="BQ49" s="532"/>
      <c r="BR49" s="533"/>
      <c r="BS49" s="406"/>
      <c r="BT49" s="406"/>
      <c r="BV49" s="31"/>
    </row>
    <row r="50" spans="1:39" ht="12.75">
      <c r="A50" s="291" t="s">
        <v>61</v>
      </c>
      <c r="B50" s="293">
        <v>9725000</v>
      </c>
      <c r="C50" s="294">
        <v>6.577124999999999</v>
      </c>
      <c r="D50" s="607">
        <v>4.8</v>
      </c>
      <c r="E50" s="294">
        <v>76.40453205187414</v>
      </c>
      <c r="F50" s="294">
        <v>1.75</v>
      </c>
      <c r="G50" s="300"/>
      <c r="H50" s="300"/>
      <c r="I50" s="293">
        <v>6533.333333333333</v>
      </c>
      <c r="J50" s="294"/>
      <c r="K50" s="297">
        <v>5.985</v>
      </c>
      <c r="L50" s="297">
        <v>5.4</v>
      </c>
      <c r="M50" s="297">
        <v>5.119</v>
      </c>
      <c r="N50" s="297">
        <v>5.62</v>
      </c>
      <c r="O50" s="297">
        <v>5.559</v>
      </c>
      <c r="P50" s="297">
        <v>6.558</v>
      </c>
      <c r="Q50" s="363"/>
      <c r="R50" s="363"/>
      <c r="S50" s="363"/>
      <c r="T50" s="363"/>
      <c r="U50" s="363"/>
      <c r="V50" s="363"/>
      <c r="W50" s="363"/>
      <c r="X50" s="363"/>
      <c r="Y50" s="363"/>
      <c r="Z50" s="363"/>
      <c r="AA50" s="363"/>
      <c r="AB50" s="363"/>
      <c r="AC50" s="363"/>
      <c r="AD50" s="363"/>
      <c r="AE50" s="238"/>
      <c r="AF50" s="238"/>
      <c r="AG50" s="271"/>
      <c r="AH50" s="272"/>
      <c r="AI50" s="273"/>
      <c r="AJ50" s="40"/>
      <c r="AK50" s="40"/>
      <c r="AL50" s="400"/>
      <c r="AM50" s="403"/>
    </row>
    <row r="51" spans="1:45" ht="12.75">
      <c r="A51" s="291" t="s">
        <v>89</v>
      </c>
      <c r="B51" s="293">
        <v>10392000</v>
      </c>
      <c r="C51" s="294">
        <v>13.444699999999997</v>
      </c>
      <c r="D51" s="607">
        <v>-0.3</v>
      </c>
      <c r="E51" s="294">
        <v>77.15</v>
      </c>
      <c r="F51" s="294">
        <v>2.28</v>
      </c>
      <c r="G51" s="296">
        <v>1.0291989600706366</v>
      </c>
      <c r="H51" s="296">
        <v>1.0813606620477292</v>
      </c>
      <c r="I51" s="293">
        <v>29975.166666666668</v>
      </c>
      <c r="J51" s="294"/>
      <c r="K51" s="299">
        <v>14.43</v>
      </c>
      <c r="L51" s="299">
        <v>14.117</v>
      </c>
      <c r="M51" s="299">
        <v>13.791</v>
      </c>
      <c r="N51" s="299">
        <v>14.608</v>
      </c>
      <c r="O51" s="299">
        <v>14.819</v>
      </c>
      <c r="P51" s="299">
        <v>14.553</v>
      </c>
      <c r="Q51" s="363"/>
      <c r="R51" s="363"/>
      <c r="S51" s="363"/>
      <c r="T51" s="363"/>
      <c r="U51" s="363"/>
      <c r="V51" s="363"/>
      <c r="W51" s="363"/>
      <c r="X51" s="363"/>
      <c r="Y51" s="363"/>
      <c r="Z51" s="363"/>
      <c r="AA51" s="363"/>
      <c r="AB51" s="363"/>
      <c r="AC51" s="363"/>
      <c r="AD51" s="363"/>
      <c r="AE51" s="238"/>
      <c r="AF51" s="238"/>
      <c r="AG51" s="271"/>
      <c r="AH51" s="272"/>
      <c r="AI51" s="273"/>
      <c r="AJ51" s="40"/>
      <c r="AK51" s="40"/>
      <c r="AL51" s="400"/>
      <c r="AM51" s="403"/>
      <c r="AN51" s="401"/>
      <c r="AO51" s="396"/>
      <c r="AP51" s="346"/>
      <c r="AQ51" s="346"/>
      <c r="AR51" s="1"/>
      <c r="AS51" s="1"/>
    </row>
    <row r="52" spans="1:45" ht="12.75">
      <c r="A52" s="291" t="s">
        <v>38</v>
      </c>
      <c r="B52" s="293">
        <v>295000</v>
      </c>
      <c r="C52" s="294">
        <v>1.6108</v>
      </c>
      <c r="D52" s="607">
        <v>-9.6</v>
      </c>
      <c r="E52" s="294">
        <v>68.05223538036492</v>
      </c>
      <c r="F52" s="305"/>
      <c r="G52" s="300"/>
      <c r="H52" s="300"/>
      <c r="I52" s="293">
        <v>5615.833333333333</v>
      </c>
      <c r="J52" s="294"/>
      <c r="K52" s="299">
        <v>2.66</v>
      </c>
      <c r="L52" s="299">
        <v>3.39</v>
      </c>
      <c r="M52" s="299">
        <v>3.092</v>
      </c>
      <c r="N52" s="299">
        <v>3.168</v>
      </c>
      <c r="O52" s="299">
        <v>3.299</v>
      </c>
      <c r="P52" s="299">
        <v>3.435</v>
      </c>
      <c r="Q52" s="363"/>
      <c r="R52" s="363"/>
      <c r="S52" s="363"/>
      <c r="T52" s="363"/>
      <c r="U52" s="363"/>
      <c r="V52" s="364"/>
      <c r="W52" s="364"/>
      <c r="X52" s="364"/>
      <c r="Y52" s="364"/>
      <c r="Z52" s="364"/>
      <c r="AA52" s="364"/>
      <c r="AB52" s="364"/>
      <c r="AC52" s="364"/>
      <c r="AD52" s="364"/>
      <c r="AE52" s="238"/>
      <c r="AF52" s="238"/>
      <c r="AG52" s="271"/>
      <c r="AH52" s="272"/>
      <c r="AI52" s="273"/>
      <c r="AJ52" s="40"/>
      <c r="AK52" s="40"/>
      <c r="AL52" s="400"/>
      <c r="AM52" s="403"/>
      <c r="AN52" s="401"/>
      <c r="AO52" s="396"/>
      <c r="AP52" s="346"/>
      <c r="AQ52" s="346"/>
      <c r="AR52" s="1"/>
      <c r="AS52" s="1"/>
    </row>
    <row r="53" spans="1:45" ht="12.75">
      <c r="A53" s="291" t="s">
        <v>147</v>
      </c>
      <c r="B53" s="293">
        <v>8278000</v>
      </c>
      <c r="C53" s="294">
        <v>0.16770000000000002</v>
      </c>
      <c r="D53" s="607">
        <v>-12.9</v>
      </c>
      <c r="E53" s="294">
        <v>57.25</v>
      </c>
      <c r="F53" s="294">
        <v>0.76</v>
      </c>
      <c r="G53" s="300"/>
      <c r="H53" s="300"/>
      <c r="I53" s="293">
        <v>1256.3333333333333</v>
      </c>
      <c r="J53" s="294"/>
      <c r="K53" s="297">
        <v>0.249</v>
      </c>
      <c r="L53" s="297">
        <v>0.241</v>
      </c>
      <c r="M53" s="297">
        <v>0.247</v>
      </c>
      <c r="N53" s="297">
        <v>0.282</v>
      </c>
      <c r="O53" s="297">
        <v>0.319</v>
      </c>
      <c r="P53" s="297">
        <v>0.325</v>
      </c>
      <c r="Q53" s="363"/>
      <c r="R53" s="363"/>
      <c r="S53" s="363"/>
      <c r="T53" s="363"/>
      <c r="U53" s="363"/>
      <c r="V53" s="363"/>
      <c r="W53" s="363"/>
      <c r="X53" s="363"/>
      <c r="Y53" s="363"/>
      <c r="Z53" s="363"/>
      <c r="AA53" s="363"/>
      <c r="AB53" s="363"/>
      <c r="AC53" s="363"/>
      <c r="AD53" s="363"/>
      <c r="AE53" s="238"/>
      <c r="AF53" s="238"/>
      <c r="AG53" s="271"/>
      <c r="AH53" s="272"/>
      <c r="AI53" s="273"/>
      <c r="AJ53" s="40"/>
      <c r="AK53" s="40"/>
      <c r="AL53" s="400"/>
      <c r="AM53" s="403"/>
      <c r="AN53" s="401"/>
      <c r="AO53" s="396"/>
      <c r="AP53" s="346"/>
      <c r="AQ53" s="346"/>
      <c r="AR53" s="1"/>
      <c r="AS53" s="1"/>
    </row>
    <row r="54" spans="1:45" ht="12.75">
      <c r="A54" s="291" t="s">
        <v>165</v>
      </c>
      <c r="B54" s="293">
        <v>67000</v>
      </c>
      <c r="C54" s="294">
        <v>8.8209</v>
      </c>
      <c r="D54" s="606">
        <v>5.1</v>
      </c>
      <c r="E54" s="305"/>
      <c r="F54" s="305"/>
      <c r="G54" s="295"/>
      <c r="H54" s="295"/>
      <c r="I54" s="308"/>
      <c r="J54" s="294"/>
      <c r="K54" s="297">
        <v>8.27</v>
      </c>
      <c r="L54" s="297">
        <v>8.173</v>
      </c>
      <c r="M54" s="297">
        <v>8.124</v>
      </c>
      <c r="N54" s="297">
        <v>8.668</v>
      </c>
      <c r="O54" s="297">
        <v>9.282</v>
      </c>
      <c r="P54" s="297">
        <v>9.845</v>
      </c>
      <c r="Q54" s="363"/>
      <c r="R54" s="363"/>
      <c r="S54" s="363"/>
      <c r="T54" s="363"/>
      <c r="U54" s="363"/>
      <c r="V54" s="363"/>
      <c r="W54" s="363"/>
      <c r="X54" s="363"/>
      <c r="Y54" s="363"/>
      <c r="Z54" s="363"/>
      <c r="AA54" s="363"/>
      <c r="AB54" s="363"/>
      <c r="AC54" s="363"/>
      <c r="AD54" s="363"/>
      <c r="AE54" s="238"/>
      <c r="AF54" s="238"/>
      <c r="AG54" s="271"/>
      <c r="AH54" s="272"/>
      <c r="AI54" s="273"/>
      <c r="AJ54" s="40"/>
      <c r="AK54" s="40"/>
      <c r="AL54" s="400"/>
      <c r="AM54" s="403"/>
      <c r="AN54" s="401"/>
      <c r="AO54" s="396"/>
      <c r="AP54" s="346"/>
      <c r="AQ54" s="346"/>
      <c r="AR54" s="1"/>
      <c r="AS54" s="1"/>
    </row>
    <row r="55" spans="1:45" ht="12.75">
      <c r="A55" s="291" t="s">
        <v>50</v>
      </c>
      <c r="B55" s="293">
        <v>673000</v>
      </c>
      <c r="C55" s="294">
        <v>0.35019999999999996</v>
      </c>
      <c r="D55" s="607">
        <v>0</v>
      </c>
      <c r="E55" s="294">
        <v>79.27181239289241</v>
      </c>
      <c r="F55" s="294">
        <v>0.9681621379153792</v>
      </c>
      <c r="G55" s="300"/>
      <c r="H55" s="300"/>
      <c r="I55" s="293">
        <v>2880</v>
      </c>
      <c r="J55" s="294"/>
      <c r="K55" s="297">
        <v>0.483</v>
      </c>
      <c r="L55" s="297">
        <v>0.486</v>
      </c>
      <c r="M55" s="297">
        <v>0.526</v>
      </c>
      <c r="N55" s="297">
        <v>0.458</v>
      </c>
      <c r="O55" s="297">
        <v>0.427</v>
      </c>
      <c r="P55" s="297">
        <v>0.453</v>
      </c>
      <c r="Q55" s="363"/>
      <c r="R55" s="363"/>
      <c r="S55" s="363"/>
      <c r="T55" s="363"/>
      <c r="U55" s="363"/>
      <c r="V55" s="363"/>
      <c r="W55" s="363"/>
      <c r="X55" s="363"/>
      <c r="Y55" s="363"/>
      <c r="Z55" s="363"/>
      <c r="AA55" s="363"/>
      <c r="AB55" s="363"/>
      <c r="AC55" s="363"/>
      <c r="AD55" s="363"/>
      <c r="AE55" s="238"/>
      <c r="AF55" s="238"/>
      <c r="AG55" s="271"/>
      <c r="AH55" s="272"/>
      <c r="AI55" s="273"/>
      <c r="AJ55" s="40"/>
      <c r="AK55" s="40"/>
      <c r="AL55" s="400"/>
      <c r="AM55" s="403"/>
      <c r="AN55" s="401"/>
      <c r="AO55" s="396"/>
      <c r="AP55" s="346"/>
      <c r="AQ55" s="346"/>
      <c r="AR55" s="1"/>
      <c r="AS55" s="1"/>
    </row>
    <row r="56" spans="1:45" ht="12.75">
      <c r="A56" s="291" t="s">
        <v>131</v>
      </c>
      <c r="B56" s="293">
        <v>9426000</v>
      </c>
      <c r="C56" s="294">
        <v>0.9585000000000001</v>
      </c>
      <c r="D56" s="607">
        <v>-5.55</v>
      </c>
      <c r="E56" s="294">
        <v>61.40836302802804</v>
      </c>
      <c r="F56" s="294">
        <v>1.34</v>
      </c>
      <c r="G56" s="300"/>
      <c r="H56" s="300"/>
      <c r="I56" s="293">
        <v>3398.5</v>
      </c>
      <c r="J56" s="294"/>
      <c r="K56" s="297">
        <v>1.13</v>
      </c>
      <c r="L56" s="297">
        <v>0.961</v>
      </c>
      <c r="M56" s="297">
        <v>1.097</v>
      </c>
      <c r="N56" s="297">
        <v>1.342</v>
      </c>
      <c r="O56" s="297">
        <v>1.319</v>
      </c>
      <c r="P56" s="297">
        <v>1.274</v>
      </c>
      <c r="Q56" s="363"/>
      <c r="R56" s="363"/>
      <c r="S56" s="363"/>
      <c r="T56" s="363"/>
      <c r="U56" s="363"/>
      <c r="V56" s="363"/>
      <c r="W56" s="363"/>
      <c r="X56" s="363"/>
      <c r="Y56" s="363"/>
      <c r="Z56" s="363"/>
      <c r="AA56" s="363"/>
      <c r="AB56" s="363"/>
      <c r="AC56" s="363"/>
      <c r="AD56" s="363"/>
      <c r="AE56" s="238"/>
      <c r="AF56" s="238"/>
      <c r="AG56" s="271"/>
      <c r="AH56" s="272"/>
      <c r="AI56" s="273"/>
      <c r="AJ56" s="40"/>
      <c r="AK56" s="40"/>
      <c r="AL56" s="400"/>
      <c r="AM56" s="403"/>
      <c r="AN56" s="401"/>
      <c r="AO56" s="396"/>
      <c r="AP56" s="346"/>
      <c r="AQ56" s="346"/>
      <c r="AR56" s="1"/>
      <c r="AS56" s="1"/>
    </row>
    <row r="57" spans="1:45" ht="12.75">
      <c r="A57" s="291" t="s">
        <v>1</v>
      </c>
      <c r="B57" s="293">
        <v>4552000</v>
      </c>
      <c r="C57" s="294">
        <v>2.740875</v>
      </c>
      <c r="D57" s="607">
        <v>-0.75</v>
      </c>
      <c r="E57" s="294">
        <v>75.64523235446421</v>
      </c>
      <c r="F57" s="294">
        <v>1.23</v>
      </c>
      <c r="G57" s="300"/>
      <c r="H57" s="300"/>
      <c r="I57" s="293">
        <v>5219.833333333333</v>
      </c>
      <c r="J57" s="294"/>
      <c r="K57" s="299">
        <v>3.748</v>
      </c>
      <c r="L57" s="299">
        <v>3.596</v>
      </c>
      <c r="M57" s="299">
        <v>3.82</v>
      </c>
      <c r="N57" s="299">
        <v>3.801</v>
      </c>
      <c r="O57" s="299">
        <v>3.945</v>
      </c>
      <c r="P57" s="299">
        <v>4.144</v>
      </c>
      <c r="Q57" s="363"/>
      <c r="R57" s="363"/>
      <c r="S57" s="363"/>
      <c r="T57" s="363"/>
      <c r="U57" s="363"/>
      <c r="V57" s="363"/>
      <c r="W57" s="363"/>
      <c r="X57" s="363"/>
      <c r="Y57" s="363"/>
      <c r="Z57" s="363"/>
      <c r="AA57" s="363"/>
      <c r="AB57" s="363"/>
      <c r="AC57" s="363"/>
      <c r="AD57" s="363"/>
      <c r="AE57" s="238"/>
      <c r="AF57" s="238"/>
      <c r="AG57" s="271"/>
      <c r="AH57" s="272"/>
      <c r="AI57" s="273"/>
      <c r="AJ57" s="40"/>
      <c r="AK57" s="40"/>
      <c r="AL57" s="400"/>
      <c r="AM57" s="403"/>
      <c r="AN57" s="401"/>
      <c r="AO57" s="396"/>
      <c r="AP57" s="346"/>
      <c r="AQ57" s="346"/>
      <c r="AR57" s="1"/>
      <c r="AS57" s="1"/>
    </row>
    <row r="58" spans="1:45" ht="12.75">
      <c r="A58" s="291" t="s">
        <v>142</v>
      </c>
      <c r="B58" s="293">
        <v>1913000</v>
      </c>
      <c r="C58" s="294">
        <v>2.2115</v>
      </c>
      <c r="D58" s="607">
        <v>-4.65</v>
      </c>
      <c r="E58" s="294">
        <v>65.20486151507768</v>
      </c>
      <c r="F58" s="294">
        <v>1.53</v>
      </c>
      <c r="G58" s="300"/>
      <c r="H58" s="300"/>
      <c r="I58" s="293">
        <v>9980</v>
      </c>
      <c r="J58" s="294"/>
      <c r="K58" s="297">
        <v>2.606</v>
      </c>
      <c r="L58" s="297">
        <v>2.204</v>
      </c>
      <c r="M58" s="297">
        <v>2.191</v>
      </c>
      <c r="N58" s="297">
        <v>1.976</v>
      </c>
      <c r="O58" s="297">
        <v>2.209</v>
      </c>
      <c r="P58" s="297">
        <v>2.329</v>
      </c>
      <c r="Q58" s="363"/>
      <c r="R58" s="363"/>
      <c r="S58" s="363"/>
      <c r="T58" s="363"/>
      <c r="U58" s="363"/>
      <c r="V58" s="363"/>
      <c r="W58" s="363"/>
      <c r="X58" s="363"/>
      <c r="Y58" s="363"/>
      <c r="Z58" s="363"/>
      <c r="AA58" s="363"/>
      <c r="AB58" s="363"/>
      <c r="AC58" s="363"/>
      <c r="AD58" s="363"/>
      <c r="AE58" s="238"/>
      <c r="AF58" s="238"/>
      <c r="AG58" s="271"/>
      <c r="AH58" s="272"/>
      <c r="AI58" s="273"/>
      <c r="AJ58" s="40"/>
      <c r="AK58" s="40"/>
      <c r="AL58" s="400"/>
      <c r="AM58" s="403"/>
      <c r="AN58" s="401"/>
      <c r="AO58" s="396"/>
      <c r="AP58" s="346"/>
      <c r="AQ58" s="346"/>
      <c r="AR58" s="1"/>
      <c r="AS58" s="1"/>
    </row>
    <row r="59" spans="1:45" ht="12.75">
      <c r="A59" s="291" t="s">
        <v>68</v>
      </c>
      <c r="B59" s="293">
        <v>193919000</v>
      </c>
      <c r="C59" s="294">
        <v>1.7358999999999998</v>
      </c>
      <c r="D59" s="607">
        <v>-7.95</v>
      </c>
      <c r="E59" s="294">
        <v>79.85</v>
      </c>
      <c r="F59" s="294">
        <v>2.035</v>
      </c>
      <c r="G59" s="296">
        <v>0.003014227152158186</v>
      </c>
      <c r="H59" s="296">
        <v>0.014310098546300259</v>
      </c>
      <c r="I59" s="293">
        <v>7607.833333333333</v>
      </c>
      <c r="J59" s="294"/>
      <c r="K59" s="299">
        <v>1.953</v>
      </c>
      <c r="L59" s="299">
        <v>1.948</v>
      </c>
      <c r="M59" s="299">
        <v>1.911</v>
      </c>
      <c r="N59" s="299">
        <v>1.88</v>
      </c>
      <c r="O59" s="299">
        <v>1.908</v>
      </c>
      <c r="P59" s="299">
        <v>1.956</v>
      </c>
      <c r="Q59" s="363"/>
      <c r="R59" s="363"/>
      <c r="S59" s="363"/>
      <c r="T59" s="363"/>
      <c r="U59" s="363"/>
      <c r="V59" s="363"/>
      <c r="W59" s="363"/>
      <c r="X59" s="363"/>
      <c r="Y59" s="363"/>
      <c r="Z59" s="363"/>
      <c r="AA59" s="363"/>
      <c r="AB59" s="363"/>
      <c r="AC59" s="363"/>
      <c r="AD59" s="363"/>
      <c r="AE59" s="238"/>
      <c r="AF59" s="238"/>
      <c r="AG59" s="271"/>
      <c r="AH59" s="272"/>
      <c r="AI59" s="273"/>
      <c r="AJ59" s="40"/>
      <c r="AK59" s="40"/>
      <c r="AL59" s="400"/>
      <c r="AM59" s="403"/>
      <c r="AN59" s="401"/>
      <c r="AO59" s="396"/>
      <c r="AP59" s="346"/>
      <c r="AQ59" s="346"/>
      <c r="AR59" s="1"/>
      <c r="AS59" s="1"/>
    </row>
    <row r="60" spans="1:45" ht="12.75">
      <c r="A60" s="291" t="s">
        <v>269</v>
      </c>
      <c r="B60" s="293">
        <v>375000</v>
      </c>
      <c r="C60" s="294">
        <v>11.7941</v>
      </c>
      <c r="D60" s="607">
        <v>-6.9</v>
      </c>
      <c r="E60" s="294">
        <v>70.87832637482146</v>
      </c>
      <c r="F60" s="305"/>
      <c r="G60" s="300"/>
      <c r="H60" s="300"/>
      <c r="I60" s="293">
        <v>45949.166666666664</v>
      </c>
      <c r="J60" s="294"/>
      <c r="K60" s="297">
        <v>11.664</v>
      </c>
      <c r="L60" s="297">
        <v>12.692</v>
      </c>
      <c r="M60" s="297">
        <v>14.286</v>
      </c>
      <c r="N60" s="297">
        <v>14.918</v>
      </c>
      <c r="O60" s="297">
        <v>16.324</v>
      </c>
      <c r="P60" s="297">
        <v>18.259</v>
      </c>
      <c r="Q60" s="363"/>
      <c r="R60" s="363"/>
      <c r="S60" s="363"/>
      <c r="T60" s="363"/>
      <c r="U60" s="363"/>
      <c r="V60" s="363"/>
      <c r="W60" s="363"/>
      <c r="X60" s="363"/>
      <c r="Y60" s="363"/>
      <c r="Z60" s="363"/>
      <c r="AA60" s="363"/>
      <c r="AB60" s="363"/>
      <c r="AC60" s="363"/>
      <c r="AD60" s="363"/>
      <c r="AE60" s="238"/>
      <c r="AF60" s="238"/>
      <c r="AG60" s="271"/>
      <c r="AH60" s="272"/>
      <c r="AI60" s="273"/>
      <c r="AJ60" s="40"/>
      <c r="AK60" s="40"/>
      <c r="AL60" s="400"/>
      <c r="AM60" s="403"/>
      <c r="AN60" s="401"/>
      <c r="AO60" s="396"/>
      <c r="AP60" s="346"/>
      <c r="AQ60" s="346"/>
      <c r="AR60" s="1"/>
      <c r="AS60" s="1"/>
    </row>
    <row r="61" spans="1:45" ht="12.75">
      <c r="A61" s="291" t="s">
        <v>71</v>
      </c>
      <c r="B61" s="293">
        <v>7323000</v>
      </c>
      <c r="C61" s="294">
        <v>6.5465</v>
      </c>
      <c r="D61" s="607">
        <v>5.25</v>
      </c>
      <c r="E61" s="294">
        <v>75.25</v>
      </c>
      <c r="F61" s="294">
        <v>1.275</v>
      </c>
      <c r="G61" s="296">
        <v>0.47074069447914063</v>
      </c>
      <c r="H61" s="296">
        <v>0.6287268423687924</v>
      </c>
      <c r="I61" s="293">
        <v>7908.666666666667</v>
      </c>
      <c r="J61" s="294"/>
      <c r="K61" s="299">
        <v>6.27</v>
      </c>
      <c r="L61" s="299">
        <v>6.767</v>
      </c>
      <c r="M61" s="299">
        <v>6.26</v>
      </c>
      <c r="N61" s="299">
        <v>6.808</v>
      </c>
      <c r="O61" s="299">
        <v>6.798</v>
      </c>
      <c r="P61" s="299">
        <v>6.986</v>
      </c>
      <c r="Q61" s="363"/>
      <c r="R61" s="363"/>
      <c r="S61" s="363"/>
      <c r="T61" s="363"/>
      <c r="U61" s="363"/>
      <c r="V61" s="363"/>
      <c r="W61" s="363"/>
      <c r="X61" s="363"/>
      <c r="Y61" s="363"/>
      <c r="Z61" s="363"/>
      <c r="AA61" s="363"/>
      <c r="AB61" s="363"/>
      <c r="AC61" s="363"/>
      <c r="AD61" s="363"/>
      <c r="AE61" s="238"/>
      <c r="AF61" s="238"/>
      <c r="AG61" s="271"/>
      <c r="AH61" s="272"/>
      <c r="AI61" s="273"/>
      <c r="AJ61" s="40"/>
      <c r="AK61" s="40"/>
      <c r="AL61" s="400"/>
      <c r="AM61" s="403"/>
      <c r="AN61" s="401"/>
      <c r="AO61" s="396"/>
      <c r="AP61" s="346"/>
      <c r="AQ61" s="346"/>
      <c r="AR61" s="1"/>
      <c r="AS61" s="1"/>
    </row>
    <row r="62" spans="1:45" ht="12.75">
      <c r="A62" s="291" t="s">
        <v>123</v>
      </c>
      <c r="B62" s="293">
        <v>14797000</v>
      </c>
      <c r="C62" s="294">
        <v>0.0766</v>
      </c>
      <c r="D62" s="607">
        <v>-4.95</v>
      </c>
      <c r="E62" s="294">
        <v>43.75</v>
      </c>
      <c r="F62" s="294">
        <v>1.435</v>
      </c>
      <c r="G62" s="300"/>
      <c r="H62" s="300"/>
      <c r="I62" s="293">
        <v>879.5</v>
      </c>
      <c r="J62" s="294"/>
      <c r="K62" s="297">
        <v>0.092</v>
      </c>
      <c r="L62" s="297">
        <v>0.089</v>
      </c>
      <c r="M62" s="297">
        <v>0.088</v>
      </c>
      <c r="N62" s="297">
        <v>0.087</v>
      </c>
      <c r="O62" s="297">
        <v>0.086</v>
      </c>
      <c r="P62" s="297">
        <v>0.076</v>
      </c>
      <c r="Q62" s="363"/>
      <c r="R62" s="363"/>
      <c r="S62" s="363"/>
      <c r="T62" s="363"/>
      <c r="U62" s="363"/>
      <c r="V62" s="363"/>
      <c r="W62" s="363"/>
      <c r="X62" s="363"/>
      <c r="Y62" s="363"/>
      <c r="Z62" s="363"/>
      <c r="AA62" s="363"/>
      <c r="AB62" s="363"/>
      <c r="AC62" s="363"/>
      <c r="AD62" s="363"/>
      <c r="AE62" s="238"/>
      <c r="AF62" s="238"/>
      <c r="AG62" s="271"/>
      <c r="AH62" s="272"/>
      <c r="AI62" s="273"/>
      <c r="AJ62" s="40"/>
      <c r="AK62" s="40"/>
      <c r="AL62" s="400"/>
      <c r="AM62" s="403"/>
      <c r="AN62" s="401"/>
      <c r="AO62" s="396"/>
      <c r="AP62" s="346"/>
      <c r="AQ62" s="346"/>
      <c r="AR62" s="1"/>
      <c r="AS62" s="1"/>
    </row>
    <row r="63" spans="1:45" ht="12.75">
      <c r="A63" s="291" t="s">
        <v>134</v>
      </c>
      <c r="B63" s="293">
        <v>8783000</v>
      </c>
      <c r="C63" s="294">
        <v>0.05840000000000001</v>
      </c>
      <c r="D63" s="607">
        <v>-6.45</v>
      </c>
      <c r="E63" s="294">
        <v>53.15</v>
      </c>
      <c r="F63" s="294">
        <v>0.705</v>
      </c>
      <c r="G63" s="300"/>
      <c r="H63" s="300"/>
      <c r="I63" s="293">
        <v>330.1666666666667</v>
      </c>
      <c r="J63" s="294"/>
      <c r="K63" s="297">
        <v>0.055</v>
      </c>
      <c r="L63" s="297">
        <v>0.056</v>
      </c>
      <c r="M63" s="297">
        <v>0.055</v>
      </c>
      <c r="N63" s="297">
        <v>0.055</v>
      </c>
      <c r="O63" s="297">
        <v>0.049</v>
      </c>
      <c r="P63" s="297">
        <v>0.045</v>
      </c>
      <c r="Q63" s="363"/>
      <c r="R63" s="363"/>
      <c r="S63" s="363"/>
      <c r="T63" s="363"/>
      <c r="U63" s="363"/>
      <c r="V63" s="363"/>
      <c r="W63" s="363"/>
      <c r="X63" s="363"/>
      <c r="Y63" s="363"/>
      <c r="Z63" s="363"/>
      <c r="AA63" s="363"/>
      <c r="AB63" s="363"/>
      <c r="AC63" s="363"/>
      <c r="AD63" s="363"/>
      <c r="AE63" s="238"/>
      <c r="AF63" s="238"/>
      <c r="AG63" s="271"/>
      <c r="AH63" s="272"/>
      <c r="AI63" s="273"/>
      <c r="AJ63" s="40"/>
      <c r="AK63" s="40"/>
      <c r="AL63" s="400"/>
      <c r="AM63" s="403"/>
      <c r="AN63" s="401"/>
      <c r="AO63" s="396"/>
      <c r="AP63" s="346"/>
      <c r="AQ63" s="346"/>
      <c r="AR63" s="1"/>
      <c r="AS63" s="1"/>
    </row>
    <row r="64" spans="1:45" ht="12.75">
      <c r="A64" s="291" t="s">
        <v>141</v>
      </c>
      <c r="B64" s="293">
        <v>13719000</v>
      </c>
      <c r="C64" s="294">
        <v>0.1014</v>
      </c>
      <c r="D64" s="607">
        <v>-18.75</v>
      </c>
      <c r="E64" s="294">
        <v>51.75</v>
      </c>
      <c r="F64" s="294">
        <v>0.7</v>
      </c>
      <c r="G64" s="300"/>
      <c r="H64" s="300"/>
      <c r="I64" s="293">
        <v>1159.8333333333333</v>
      </c>
      <c r="J64" s="294"/>
      <c r="K64" s="297">
        <v>0.174</v>
      </c>
      <c r="L64" s="297">
        <v>0.202</v>
      </c>
      <c r="M64" s="297">
        <v>0.216</v>
      </c>
      <c r="N64" s="297">
        <v>0.233</v>
      </c>
      <c r="O64" s="297">
        <v>0.256</v>
      </c>
      <c r="P64" s="297">
        <v>0.268</v>
      </c>
      <c r="Q64" s="363"/>
      <c r="R64" s="363"/>
      <c r="S64" s="363"/>
      <c r="T64" s="363"/>
      <c r="U64" s="363"/>
      <c r="V64" s="363"/>
      <c r="W64" s="363"/>
      <c r="X64" s="363"/>
      <c r="Y64" s="363"/>
      <c r="Z64" s="363"/>
      <c r="AA64" s="363"/>
      <c r="AB64" s="363"/>
      <c r="AC64" s="363"/>
      <c r="AD64" s="363"/>
      <c r="AE64" s="238"/>
      <c r="AF64" s="238"/>
      <c r="AG64" s="271"/>
      <c r="AH64" s="272"/>
      <c r="AI64" s="273"/>
      <c r="AJ64" s="40"/>
      <c r="AK64" s="40"/>
      <c r="AL64" s="400"/>
      <c r="AM64" s="403"/>
      <c r="AN64" s="401"/>
      <c r="AO64" s="396"/>
      <c r="AP64" s="346"/>
      <c r="AQ64" s="346"/>
      <c r="AR64" s="1"/>
      <c r="AS64" s="1"/>
    </row>
    <row r="65" spans="1:45" ht="12.75">
      <c r="A65" s="291" t="s">
        <v>127</v>
      </c>
      <c r="B65" s="293">
        <v>18060000</v>
      </c>
      <c r="C65" s="294">
        <v>0.44110000000000005</v>
      </c>
      <c r="D65" s="607">
        <v>-10.35</v>
      </c>
      <c r="E65" s="294">
        <v>58.95</v>
      </c>
      <c r="F65" s="294">
        <v>0.965</v>
      </c>
      <c r="G65" s="300"/>
      <c r="H65" s="300"/>
      <c r="I65" s="293">
        <v>1813.5</v>
      </c>
      <c r="J65" s="294"/>
      <c r="K65" s="297">
        <v>0.445</v>
      </c>
      <c r="L65" s="297">
        <v>0.412</v>
      </c>
      <c r="M65" s="297">
        <v>0.384</v>
      </c>
      <c r="N65" s="297">
        <v>0.371</v>
      </c>
      <c r="O65" s="297">
        <v>0.383</v>
      </c>
      <c r="P65" s="297">
        <v>0.393</v>
      </c>
      <c r="Q65" s="363"/>
      <c r="R65" s="363"/>
      <c r="S65" s="363"/>
      <c r="T65" s="363"/>
      <c r="U65" s="363"/>
      <c r="V65" s="363"/>
      <c r="W65" s="363"/>
      <c r="X65" s="363"/>
      <c r="Y65" s="363"/>
      <c r="Z65" s="363"/>
      <c r="AA65" s="363"/>
      <c r="AB65" s="363"/>
      <c r="AC65" s="363"/>
      <c r="AD65" s="363"/>
      <c r="AE65" s="238"/>
      <c r="AF65" s="238"/>
      <c r="AG65" s="271"/>
      <c r="AH65" s="272"/>
      <c r="AI65" s="273"/>
      <c r="AJ65" s="40"/>
      <c r="AK65" s="40"/>
      <c r="AL65" s="400"/>
      <c r="AM65" s="403"/>
      <c r="AN65" s="401"/>
      <c r="AO65" s="396"/>
      <c r="AP65" s="346"/>
      <c r="AQ65" s="346"/>
      <c r="AR65" s="1"/>
      <c r="AS65" s="1"/>
    </row>
    <row r="66" spans="1:45" ht="12.75">
      <c r="A66" s="291" t="s">
        <v>2</v>
      </c>
      <c r="B66" s="293">
        <v>32936000</v>
      </c>
      <c r="C66" s="294">
        <v>17.2933</v>
      </c>
      <c r="D66" s="607">
        <v>0</v>
      </c>
      <c r="E66" s="294">
        <v>85.3</v>
      </c>
      <c r="F66" s="294">
        <v>3.34</v>
      </c>
      <c r="G66" s="296">
        <v>0.6778114511030731</v>
      </c>
      <c r="H66" s="296">
        <v>0.5789004938871346</v>
      </c>
      <c r="I66" s="293">
        <v>31104.666666666668</v>
      </c>
      <c r="J66" s="294"/>
      <c r="K66" s="297">
        <v>18.433</v>
      </c>
      <c r="L66" s="297">
        <v>17.908</v>
      </c>
      <c r="M66" s="297">
        <v>17.938</v>
      </c>
      <c r="N66" s="297">
        <v>18.721</v>
      </c>
      <c r="O66" s="297">
        <v>19.032</v>
      </c>
      <c r="P66" s="297">
        <v>19.25</v>
      </c>
      <c r="Q66" s="363"/>
      <c r="R66" s="363"/>
      <c r="S66" s="363"/>
      <c r="T66" s="363"/>
      <c r="U66" s="363"/>
      <c r="V66" s="363"/>
      <c r="W66" s="363"/>
      <c r="X66" s="363"/>
      <c r="Y66" s="363"/>
      <c r="Z66" s="363"/>
      <c r="AA66" s="363"/>
      <c r="AB66" s="363"/>
      <c r="AC66" s="363"/>
      <c r="AD66" s="363"/>
      <c r="AE66" s="238"/>
      <c r="AF66" s="238"/>
      <c r="AG66" s="271"/>
      <c r="AH66" s="273"/>
      <c r="AI66" s="273"/>
      <c r="AJ66" s="40"/>
      <c r="AK66" s="40"/>
      <c r="AL66" s="400"/>
      <c r="AM66" s="403"/>
      <c r="AN66" s="401"/>
      <c r="AO66" s="396"/>
      <c r="AP66" s="346"/>
      <c r="AQ66" s="346"/>
      <c r="AR66" s="1"/>
      <c r="AS66" s="1"/>
    </row>
    <row r="67" spans="1:45" ht="12.75">
      <c r="A67" s="291" t="s">
        <v>180</v>
      </c>
      <c r="B67" s="293">
        <v>486000</v>
      </c>
      <c r="C67" s="294">
        <v>0.2914</v>
      </c>
      <c r="D67" s="606">
        <v>9.6</v>
      </c>
      <c r="E67" s="305"/>
      <c r="F67" s="305"/>
      <c r="G67" s="295"/>
      <c r="H67" s="295"/>
      <c r="I67" s="293">
        <v>2252.3333333333335</v>
      </c>
      <c r="J67" s="294"/>
      <c r="K67" s="297">
        <v>0.406</v>
      </c>
      <c r="L67" s="297">
        <v>0.312</v>
      </c>
      <c r="M67" s="297">
        <v>0.324</v>
      </c>
      <c r="N67" s="297">
        <v>0.318</v>
      </c>
      <c r="O67" s="297">
        <v>0.643</v>
      </c>
      <c r="P67" s="297">
        <v>0.541</v>
      </c>
      <c r="Q67" s="363"/>
      <c r="R67" s="363"/>
      <c r="S67" s="363"/>
      <c r="T67" s="363"/>
      <c r="U67" s="363"/>
      <c r="V67" s="363"/>
      <c r="W67" s="363"/>
      <c r="X67" s="363"/>
      <c r="Y67" s="363"/>
      <c r="Z67" s="363"/>
      <c r="AA67" s="363"/>
      <c r="AB67" s="363"/>
      <c r="AC67" s="363"/>
      <c r="AD67" s="363"/>
      <c r="AE67" s="238"/>
      <c r="AF67" s="238"/>
      <c r="AG67" s="271"/>
      <c r="AH67" s="272"/>
      <c r="AI67" s="273"/>
      <c r="AJ67" s="40"/>
      <c r="AK67" s="40"/>
      <c r="AL67" s="400"/>
      <c r="AM67" s="403"/>
      <c r="AN67" s="401"/>
      <c r="AO67" s="396"/>
      <c r="AP67" s="346"/>
      <c r="AQ67" s="346"/>
      <c r="AR67" s="1"/>
      <c r="AS67" s="1"/>
    </row>
    <row r="68" spans="1:45" ht="12.75">
      <c r="A68" s="291" t="s">
        <v>163</v>
      </c>
      <c r="B68" s="293">
        <v>47000</v>
      </c>
      <c r="C68" s="294">
        <v>10.0342</v>
      </c>
      <c r="D68" s="606">
        <v>0</v>
      </c>
      <c r="E68" s="305"/>
      <c r="F68" s="305"/>
      <c r="G68" s="295"/>
      <c r="H68" s="295"/>
      <c r="I68" s="308"/>
      <c r="J68" s="294"/>
      <c r="K68" s="299">
        <v>8.932</v>
      </c>
      <c r="L68" s="299">
        <v>8.745</v>
      </c>
      <c r="M68" s="299">
        <v>8.493</v>
      </c>
      <c r="N68" s="299">
        <v>8.556</v>
      </c>
      <c r="O68" s="299">
        <v>8.947</v>
      </c>
      <c r="P68" s="299">
        <v>9.176</v>
      </c>
      <c r="Q68" s="363"/>
      <c r="R68" s="363"/>
      <c r="S68" s="363"/>
      <c r="T68" s="363"/>
      <c r="U68" s="363"/>
      <c r="V68" s="363"/>
      <c r="W68" s="363"/>
      <c r="X68" s="363"/>
      <c r="Y68" s="363"/>
      <c r="Z68" s="363"/>
      <c r="AA68" s="363"/>
      <c r="AB68" s="363"/>
      <c r="AC68" s="363"/>
      <c r="AD68" s="363"/>
      <c r="AE68" s="238"/>
      <c r="AF68" s="238"/>
      <c r="AG68" s="271"/>
      <c r="AH68" s="272"/>
      <c r="AI68" s="273"/>
      <c r="AJ68" s="40"/>
      <c r="AK68" s="40"/>
      <c r="AL68" s="400"/>
      <c r="AM68" s="403"/>
      <c r="AN68" s="401"/>
      <c r="AO68" s="396"/>
      <c r="AP68" s="346"/>
      <c r="AQ68" s="346"/>
      <c r="AR68" s="1"/>
      <c r="AS68" s="1"/>
    </row>
    <row r="69" spans="1:45" ht="12.75">
      <c r="A69" s="291" t="s">
        <v>154</v>
      </c>
      <c r="B69" s="293">
        <v>4544000</v>
      </c>
      <c r="C69" s="294">
        <v>0.0812</v>
      </c>
      <c r="D69" s="607">
        <v>-1.05</v>
      </c>
      <c r="E69" s="294">
        <v>56.65</v>
      </c>
      <c r="F69" s="294">
        <v>1.225</v>
      </c>
      <c r="G69" s="300"/>
      <c r="H69" s="300"/>
      <c r="I69" s="293">
        <v>665.5</v>
      </c>
      <c r="J69" s="294"/>
      <c r="K69" s="297">
        <v>0.082</v>
      </c>
      <c r="L69" s="297">
        <v>0.082</v>
      </c>
      <c r="M69" s="297">
        <v>0.083</v>
      </c>
      <c r="N69" s="297">
        <v>0.082</v>
      </c>
      <c r="O69" s="297">
        <v>0.076</v>
      </c>
      <c r="P69" s="297">
        <v>0.071</v>
      </c>
      <c r="Q69" s="363"/>
      <c r="R69" s="363"/>
      <c r="S69" s="363"/>
      <c r="T69" s="363"/>
      <c r="U69" s="363"/>
      <c r="V69" s="363"/>
      <c r="W69" s="363"/>
      <c r="X69" s="363"/>
      <c r="Y69" s="363"/>
      <c r="Z69" s="363"/>
      <c r="AA69" s="363"/>
      <c r="AB69" s="363"/>
      <c r="AC69" s="363"/>
      <c r="AD69" s="363"/>
      <c r="AE69" s="238"/>
      <c r="AF69" s="238"/>
      <c r="AG69" s="271"/>
      <c r="AH69" s="272"/>
      <c r="AI69" s="273"/>
      <c r="AJ69" s="40"/>
      <c r="AK69" s="40"/>
      <c r="AL69" s="400"/>
      <c r="AM69" s="403"/>
      <c r="AN69" s="401"/>
      <c r="AO69" s="396"/>
      <c r="AP69" s="346"/>
      <c r="AQ69" s="346"/>
      <c r="AR69" s="1"/>
      <c r="AS69" s="1"/>
    </row>
    <row r="70" spans="1:45" ht="12.75">
      <c r="A70" s="291" t="s">
        <v>144</v>
      </c>
      <c r="B70" s="293">
        <v>9886000</v>
      </c>
      <c r="C70" s="294">
        <v>0.033600000000000005</v>
      </c>
      <c r="D70" s="607">
        <v>-1.35</v>
      </c>
      <c r="E70" s="294">
        <v>38.2</v>
      </c>
      <c r="F70" s="294">
        <v>1.35</v>
      </c>
      <c r="G70" s="300"/>
      <c r="H70" s="300"/>
      <c r="I70" s="293">
        <v>934</v>
      </c>
      <c r="J70" s="294"/>
      <c r="K70" s="297">
        <v>0.024</v>
      </c>
      <c r="L70" s="297">
        <v>0.024</v>
      </c>
      <c r="M70" s="297">
        <v>0.024</v>
      </c>
      <c r="N70" s="297">
        <v>0.023</v>
      </c>
      <c r="O70" s="297">
        <v>0.021</v>
      </c>
      <c r="P70" s="297">
        <v>0.022</v>
      </c>
      <c r="Q70" s="363"/>
      <c r="R70" s="363"/>
      <c r="S70" s="363"/>
      <c r="T70" s="363"/>
      <c r="U70" s="363"/>
      <c r="V70" s="363"/>
      <c r="W70" s="363"/>
      <c r="X70" s="363"/>
      <c r="Y70" s="363"/>
      <c r="Z70" s="363"/>
      <c r="AA70" s="363"/>
      <c r="AB70" s="363"/>
      <c r="AC70" s="363"/>
      <c r="AD70" s="363"/>
      <c r="AE70" s="238"/>
      <c r="AF70" s="238"/>
      <c r="AG70" s="271"/>
      <c r="AH70" s="272"/>
      <c r="AI70" s="273"/>
      <c r="AJ70" s="40"/>
      <c r="AK70" s="40"/>
      <c r="AL70" s="400"/>
      <c r="AM70" s="403"/>
      <c r="AN70" s="401"/>
      <c r="AO70" s="396"/>
      <c r="AP70" s="346"/>
      <c r="AQ70" s="346"/>
      <c r="AR70" s="1"/>
      <c r="AS70" s="1"/>
    </row>
    <row r="71" spans="1:45" ht="12.75">
      <c r="A71" s="291" t="s">
        <v>29</v>
      </c>
      <c r="B71" s="293">
        <v>16304000</v>
      </c>
      <c r="C71" s="294">
        <v>2.9384</v>
      </c>
      <c r="D71" s="607">
        <v>1.5</v>
      </c>
      <c r="E71" s="294">
        <v>81.15</v>
      </c>
      <c r="F71" s="294">
        <v>2.07</v>
      </c>
      <c r="G71" s="300"/>
      <c r="H71" s="300"/>
      <c r="I71" s="293">
        <v>10460.166666666666</v>
      </c>
      <c r="J71" s="294"/>
      <c r="K71" s="299">
        <v>3.635</v>
      </c>
      <c r="L71" s="299">
        <v>3.557</v>
      </c>
      <c r="M71" s="299">
        <v>3.473</v>
      </c>
      <c r="N71" s="299">
        <v>3.704</v>
      </c>
      <c r="O71" s="299">
        <v>4.06</v>
      </c>
      <c r="P71" s="299">
        <v>4.26</v>
      </c>
      <c r="Q71" s="363"/>
      <c r="R71" s="363"/>
      <c r="S71" s="363"/>
      <c r="T71" s="363"/>
      <c r="U71" s="363"/>
      <c r="V71" s="363"/>
      <c r="W71" s="363"/>
      <c r="X71" s="363"/>
      <c r="Y71" s="363"/>
      <c r="Z71" s="363"/>
      <c r="AA71" s="363"/>
      <c r="AB71" s="363"/>
      <c r="AC71" s="363"/>
      <c r="AD71" s="363"/>
      <c r="AE71" s="238"/>
      <c r="AF71" s="238"/>
      <c r="AG71" s="271"/>
      <c r="AH71" s="272"/>
      <c r="AI71" s="273"/>
      <c r="AJ71" s="40"/>
      <c r="AK71" s="40"/>
      <c r="AL71" s="400"/>
      <c r="AM71" s="403"/>
      <c r="AN71" s="401"/>
      <c r="AO71" s="396"/>
      <c r="AP71" s="346"/>
      <c r="AQ71" s="346"/>
      <c r="AR71" s="1"/>
      <c r="AS71" s="1"/>
    </row>
    <row r="72" spans="1:45" ht="12.75">
      <c r="A72" s="291" t="s">
        <v>117</v>
      </c>
      <c r="B72" s="293">
        <v>1310584000</v>
      </c>
      <c r="C72" s="294">
        <v>2.2525</v>
      </c>
      <c r="D72" s="606">
        <v>5.7</v>
      </c>
      <c r="E72" s="294">
        <v>60.65</v>
      </c>
      <c r="F72" s="294">
        <v>0.905</v>
      </c>
      <c r="G72" s="296">
        <v>0.0020102347835833025</v>
      </c>
      <c r="H72" s="296">
        <v>0.005732177410986247</v>
      </c>
      <c r="I72" s="293">
        <v>3123</v>
      </c>
      <c r="J72" s="294"/>
      <c r="K72" s="297">
        <v>2.255</v>
      </c>
      <c r="L72" s="297">
        <v>2.337</v>
      </c>
      <c r="M72" s="297">
        <v>2.712</v>
      </c>
      <c r="N72" s="297">
        <v>3.168</v>
      </c>
      <c r="O72" s="297">
        <v>3.943</v>
      </c>
      <c r="P72" s="297">
        <v>4.248</v>
      </c>
      <c r="Q72" s="363"/>
      <c r="R72" s="363"/>
      <c r="S72" s="363"/>
      <c r="T72" s="363"/>
      <c r="U72" s="363"/>
      <c r="V72" s="363"/>
      <c r="W72" s="363"/>
      <c r="X72" s="363"/>
      <c r="Y72" s="363"/>
      <c r="Z72" s="363"/>
      <c r="AA72" s="363"/>
      <c r="AB72" s="363"/>
      <c r="AC72" s="363"/>
      <c r="AD72" s="363"/>
      <c r="AE72" s="238"/>
      <c r="AF72" s="238"/>
      <c r="AG72" s="271"/>
      <c r="AH72" s="272"/>
      <c r="AI72" s="273"/>
      <c r="AJ72" s="40"/>
      <c r="AK72" s="40"/>
      <c r="AL72" s="400"/>
      <c r="AM72" s="403"/>
      <c r="AN72" s="401"/>
      <c r="AO72" s="396"/>
      <c r="AP72" s="346"/>
      <c r="AQ72" s="346"/>
      <c r="AR72" s="1"/>
      <c r="AS72" s="1"/>
    </row>
    <row r="73" spans="1:45" ht="12.75">
      <c r="A73" s="291" t="s">
        <v>189</v>
      </c>
      <c r="B73" s="293">
        <v>6980000</v>
      </c>
      <c r="C73" s="294">
        <v>7.7262</v>
      </c>
      <c r="D73" s="608"/>
      <c r="E73" s="305"/>
      <c r="F73" s="305"/>
      <c r="G73" s="295"/>
      <c r="H73" s="295"/>
      <c r="I73" s="293">
        <v>29735.166666666668</v>
      </c>
      <c r="J73" s="294"/>
      <c r="K73" s="297">
        <v>8.367</v>
      </c>
      <c r="L73" s="297">
        <v>8.975</v>
      </c>
      <c r="M73" s="297">
        <v>9.762</v>
      </c>
      <c r="N73" s="297">
        <v>10.28</v>
      </c>
      <c r="O73" s="297">
        <v>11.388</v>
      </c>
      <c r="P73" s="297">
        <v>11.687</v>
      </c>
      <c r="Q73" s="363"/>
      <c r="R73" s="363"/>
      <c r="S73" s="363"/>
      <c r="T73" s="363"/>
      <c r="U73" s="363"/>
      <c r="V73" s="363"/>
      <c r="W73" s="363"/>
      <c r="X73" s="363"/>
      <c r="Y73" s="363"/>
      <c r="Z73" s="363"/>
      <c r="AA73" s="363"/>
      <c r="AB73" s="363"/>
      <c r="AC73" s="363"/>
      <c r="AD73" s="363"/>
      <c r="AE73" s="238"/>
      <c r="AF73" s="238"/>
      <c r="AG73" s="271"/>
      <c r="AH73" s="272"/>
      <c r="AI73" s="273"/>
      <c r="AJ73" s="40"/>
      <c r="AK73" s="40"/>
      <c r="AL73" s="400"/>
      <c r="AM73" s="403"/>
      <c r="AN73" s="401"/>
      <c r="AO73" s="396"/>
      <c r="AP73" s="346"/>
      <c r="AQ73" s="346"/>
      <c r="AR73" s="1"/>
      <c r="AS73" s="1"/>
    </row>
    <row r="74" spans="1:45" ht="12.75">
      <c r="A74" s="291" t="s">
        <v>190</v>
      </c>
      <c r="B74" s="293">
        <v>526000</v>
      </c>
      <c r="C74" s="294">
        <v>3.4039</v>
      </c>
      <c r="D74" s="608"/>
      <c r="E74" s="305"/>
      <c r="F74" s="305"/>
      <c r="G74" s="295"/>
      <c r="H74" s="295"/>
      <c r="I74" s="595">
        <v>27332.833333333332</v>
      </c>
      <c r="J74" s="294"/>
      <c r="K74" s="297">
        <v>3.655</v>
      </c>
      <c r="L74" s="297">
        <v>3.818</v>
      </c>
      <c r="M74" s="297">
        <v>4.185</v>
      </c>
      <c r="N74" s="297">
        <v>4.283</v>
      </c>
      <c r="O74" s="297">
        <v>5.106</v>
      </c>
      <c r="P74" s="297">
        <v>4.182</v>
      </c>
      <c r="Q74" s="363"/>
      <c r="R74" s="363"/>
      <c r="S74" s="363"/>
      <c r="T74" s="363"/>
      <c r="U74" s="363"/>
      <c r="V74" s="363"/>
      <c r="W74" s="363"/>
      <c r="X74" s="363"/>
      <c r="Y74" s="363"/>
      <c r="Z74" s="363"/>
      <c r="AA74" s="363"/>
      <c r="AB74" s="363"/>
      <c r="AC74" s="363"/>
      <c r="AD74" s="363"/>
      <c r="AE74" s="238"/>
      <c r="AF74" s="238"/>
      <c r="AG74" s="271"/>
      <c r="AH74" s="272"/>
      <c r="AI74" s="273"/>
      <c r="AJ74" s="40"/>
      <c r="AK74" s="40"/>
      <c r="AL74" s="400"/>
      <c r="AM74" s="403"/>
      <c r="AN74" s="401"/>
      <c r="AO74" s="396"/>
      <c r="AP74" s="346"/>
      <c r="AQ74" s="346"/>
      <c r="AR74" s="1"/>
      <c r="AS74" s="1"/>
    </row>
    <row r="75" spans="1:45" ht="12.75">
      <c r="A75" s="291" t="s">
        <v>25</v>
      </c>
      <c r="B75" s="293">
        <v>42597000</v>
      </c>
      <c r="C75" s="294">
        <v>1.5149000000000001</v>
      </c>
      <c r="D75" s="606">
        <v>-1.95</v>
      </c>
      <c r="E75" s="294">
        <v>84.35</v>
      </c>
      <c r="F75" s="294">
        <v>1.11</v>
      </c>
      <c r="G75" s="300"/>
      <c r="H75" s="300"/>
      <c r="I75" s="293">
        <v>6434.666666666667</v>
      </c>
      <c r="J75" s="294"/>
      <c r="K75" s="299">
        <v>1.483</v>
      </c>
      <c r="L75" s="299">
        <v>1.438</v>
      </c>
      <c r="M75" s="299">
        <v>1.392</v>
      </c>
      <c r="N75" s="299">
        <v>1.415</v>
      </c>
      <c r="O75" s="299">
        <v>1.365</v>
      </c>
      <c r="P75" s="299">
        <v>1.448</v>
      </c>
      <c r="Q75" s="363"/>
      <c r="R75" s="363"/>
      <c r="S75" s="363"/>
      <c r="T75" s="363"/>
      <c r="U75" s="363"/>
      <c r="V75" s="363"/>
      <c r="W75" s="363"/>
      <c r="X75" s="363"/>
      <c r="Y75" s="363"/>
      <c r="Z75" s="363"/>
      <c r="AA75" s="363"/>
      <c r="AB75" s="363"/>
      <c r="AC75" s="363"/>
      <c r="AD75" s="363"/>
      <c r="AE75" s="238"/>
      <c r="AF75" s="238"/>
      <c r="AG75" s="271"/>
      <c r="AH75" s="272"/>
      <c r="AI75" s="273"/>
      <c r="AJ75" s="40"/>
      <c r="AK75" s="40"/>
      <c r="AL75" s="400"/>
      <c r="AM75" s="403"/>
      <c r="AN75" s="401"/>
      <c r="AO75" s="396"/>
      <c r="AP75" s="346"/>
      <c r="AQ75" s="346"/>
      <c r="AR75" s="1"/>
      <c r="AS75" s="1"/>
    </row>
    <row r="76" spans="1:45" ht="12.75">
      <c r="A76" s="291" t="s">
        <v>186</v>
      </c>
      <c r="B76" s="293">
        <v>711000</v>
      </c>
      <c r="C76" s="294">
        <v>0.15539999999999998</v>
      </c>
      <c r="D76" s="607">
        <v>-5.7</v>
      </c>
      <c r="E76" s="305"/>
      <c r="F76" s="305"/>
      <c r="G76" s="295"/>
      <c r="H76" s="295"/>
      <c r="I76" s="293">
        <v>989.5</v>
      </c>
      <c r="J76" s="294"/>
      <c r="K76" s="297">
        <v>0.167</v>
      </c>
      <c r="L76" s="297">
        <v>0.167</v>
      </c>
      <c r="M76" s="297">
        <v>0.168</v>
      </c>
      <c r="N76" s="297">
        <v>0.163</v>
      </c>
      <c r="O76" s="297">
        <v>0.162</v>
      </c>
      <c r="P76" s="297">
        <v>0.167</v>
      </c>
      <c r="Q76" s="363"/>
      <c r="R76" s="363"/>
      <c r="S76" s="363"/>
      <c r="T76" s="363"/>
      <c r="U76" s="363"/>
      <c r="V76" s="363"/>
      <c r="W76" s="363"/>
      <c r="X76" s="363"/>
      <c r="Y76" s="363"/>
      <c r="Z76" s="363"/>
      <c r="AA76" s="363"/>
      <c r="AB76" s="363"/>
      <c r="AC76" s="363"/>
      <c r="AD76" s="363"/>
      <c r="AE76" s="238"/>
      <c r="AF76" s="238"/>
      <c r="AG76" s="271"/>
      <c r="AH76" s="272"/>
      <c r="AI76" s="273"/>
      <c r="AJ76" s="40"/>
      <c r="AK76" s="40"/>
      <c r="AL76" s="400"/>
      <c r="AM76" s="403"/>
      <c r="AN76" s="401"/>
      <c r="AO76" s="396"/>
      <c r="AP76" s="346"/>
      <c r="AQ76" s="346"/>
      <c r="AR76" s="1"/>
      <c r="AS76" s="1"/>
    </row>
    <row r="77" spans="1:45" ht="12.75">
      <c r="A77" s="291" t="s">
        <v>267</v>
      </c>
      <c r="B77" s="293">
        <v>3802000</v>
      </c>
      <c r="C77" s="294">
        <v>0.9665000000000001</v>
      </c>
      <c r="D77" s="607">
        <v>-1.05</v>
      </c>
      <c r="E77" s="294">
        <v>59.55</v>
      </c>
      <c r="F77" s="294">
        <v>0.47</v>
      </c>
      <c r="G77" s="300"/>
      <c r="H77" s="300"/>
      <c r="I77" s="293">
        <v>3015.3333333333335</v>
      </c>
      <c r="J77" s="294"/>
      <c r="K77" s="297">
        <v>0.971</v>
      </c>
      <c r="L77" s="297">
        <v>0.988</v>
      </c>
      <c r="M77" s="297">
        <v>0.896</v>
      </c>
      <c r="N77" s="297">
        <v>0.899</v>
      </c>
      <c r="O77" s="297">
        <v>0.877</v>
      </c>
      <c r="P77" s="297">
        <v>1.498</v>
      </c>
      <c r="Q77" s="363"/>
      <c r="R77" s="363"/>
      <c r="S77" s="363"/>
      <c r="T77" s="363"/>
      <c r="U77" s="363"/>
      <c r="V77" s="363"/>
      <c r="W77" s="363"/>
      <c r="X77" s="363"/>
      <c r="Y77" s="363"/>
      <c r="Z77" s="363"/>
      <c r="AA77" s="363"/>
      <c r="AB77" s="363"/>
      <c r="AC77" s="363"/>
      <c r="AD77" s="363"/>
      <c r="AE77" s="238"/>
      <c r="AF77" s="238"/>
      <c r="AG77" s="271"/>
      <c r="AH77" s="272"/>
      <c r="AI77" s="273"/>
      <c r="AJ77" s="40"/>
      <c r="AK77" s="40"/>
      <c r="AL77" s="400"/>
      <c r="AM77" s="403"/>
      <c r="AN77" s="401"/>
      <c r="AO77" s="396"/>
      <c r="AP77" s="346"/>
      <c r="AQ77" s="346"/>
      <c r="AR77" s="1"/>
      <c r="AS77" s="1"/>
    </row>
    <row r="78" spans="1:45" ht="12.75">
      <c r="A78" s="291" t="s">
        <v>18</v>
      </c>
      <c r="B78" s="293">
        <v>4331000</v>
      </c>
      <c r="C78" s="294">
        <v>1.1982</v>
      </c>
      <c r="D78" s="606">
        <v>-2.1</v>
      </c>
      <c r="E78" s="294">
        <v>86.05</v>
      </c>
      <c r="F78" s="294">
        <v>1.4</v>
      </c>
      <c r="G78" s="300"/>
      <c r="H78" s="300"/>
      <c r="I78" s="293">
        <v>7904.666666666667</v>
      </c>
      <c r="J78" s="294"/>
      <c r="K78" s="297">
        <v>1.289</v>
      </c>
      <c r="L78" s="297">
        <v>1.32</v>
      </c>
      <c r="M78" s="297">
        <v>1.34</v>
      </c>
      <c r="N78" s="297">
        <v>1.458</v>
      </c>
      <c r="O78" s="297">
        <v>1.38</v>
      </c>
      <c r="P78" s="297">
        <v>1.343</v>
      </c>
      <c r="Q78" s="363"/>
      <c r="R78" s="363"/>
      <c r="S78" s="363"/>
      <c r="T78" s="363"/>
      <c r="U78" s="363"/>
      <c r="V78" s="363"/>
      <c r="W78" s="363"/>
      <c r="X78" s="363"/>
      <c r="Y78" s="363"/>
      <c r="Z78" s="363"/>
      <c r="AA78" s="363"/>
      <c r="AB78" s="363"/>
      <c r="AC78" s="363"/>
      <c r="AD78" s="363"/>
      <c r="AE78" s="238"/>
      <c r="AF78" s="238"/>
      <c r="AG78" s="271"/>
      <c r="AH78" s="272"/>
      <c r="AI78" s="273"/>
      <c r="AJ78" s="40"/>
      <c r="AK78" s="40"/>
      <c r="AL78" s="400"/>
      <c r="AM78" s="403"/>
      <c r="AN78" s="401"/>
      <c r="AO78" s="396"/>
      <c r="AP78" s="346"/>
      <c r="AQ78" s="346"/>
      <c r="AR78" s="1"/>
      <c r="AS78" s="1"/>
    </row>
    <row r="79" spans="1:45" ht="12.75">
      <c r="A79" s="291" t="s">
        <v>102</v>
      </c>
      <c r="B79" s="293">
        <v>19747000</v>
      </c>
      <c r="C79" s="294">
        <v>0.33620000000000005</v>
      </c>
      <c r="D79" s="606">
        <v>0.9</v>
      </c>
      <c r="E79" s="294">
        <v>61.35</v>
      </c>
      <c r="F79" s="294">
        <v>0.695</v>
      </c>
      <c r="G79" s="300"/>
      <c r="H79" s="300"/>
      <c r="I79" s="293">
        <v>1609.3333333333333</v>
      </c>
      <c r="J79" s="294"/>
      <c r="K79" s="297">
        <v>0.436</v>
      </c>
      <c r="L79" s="297">
        <v>0.339</v>
      </c>
      <c r="M79" s="297">
        <v>0.328</v>
      </c>
      <c r="N79" s="297">
        <v>0.32</v>
      </c>
      <c r="O79" s="297">
        <v>0.343</v>
      </c>
      <c r="P79" s="297">
        <v>0.337</v>
      </c>
      <c r="Q79" s="363"/>
      <c r="R79" s="363"/>
      <c r="S79" s="363"/>
      <c r="T79" s="363"/>
      <c r="U79" s="363"/>
      <c r="V79" s="363"/>
      <c r="W79" s="363"/>
      <c r="X79" s="363"/>
      <c r="Y79" s="363"/>
      <c r="Z79" s="363"/>
      <c r="AA79" s="363"/>
      <c r="AB79" s="363"/>
      <c r="AC79" s="363"/>
      <c r="AD79" s="363"/>
      <c r="AE79" s="238"/>
      <c r="AF79" s="238"/>
      <c r="AG79" s="271"/>
      <c r="AH79" s="272"/>
      <c r="AI79" s="273"/>
      <c r="AJ79" s="40"/>
      <c r="AK79" s="40"/>
      <c r="AL79" s="400"/>
      <c r="AM79" s="403"/>
      <c r="AN79" s="401"/>
      <c r="AO79" s="396"/>
      <c r="AP79" s="346"/>
      <c r="AQ79" s="346"/>
      <c r="AR79" s="1"/>
      <c r="AS79" s="1"/>
    </row>
    <row r="80" spans="1:45" ht="12.75">
      <c r="A80" s="291" t="s">
        <v>45</v>
      </c>
      <c r="B80" s="293">
        <v>4493000</v>
      </c>
      <c r="C80" s="294">
        <v>4.082</v>
      </c>
      <c r="D80" s="606">
        <v>1.35</v>
      </c>
      <c r="E80" s="294">
        <v>80.29594300110003</v>
      </c>
      <c r="F80" s="294">
        <v>1.38</v>
      </c>
      <c r="G80" s="300"/>
      <c r="H80" s="300"/>
      <c r="I80" s="293">
        <v>13057.666666666666</v>
      </c>
      <c r="J80" s="294"/>
      <c r="K80" s="299">
        <v>4.558</v>
      </c>
      <c r="L80" s="299">
        <v>4.56</v>
      </c>
      <c r="M80" s="299">
        <v>4.707</v>
      </c>
      <c r="N80" s="299">
        <v>4.978</v>
      </c>
      <c r="O80" s="299">
        <v>4.82</v>
      </c>
      <c r="P80" s="299">
        <v>4.669</v>
      </c>
      <c r="Q80" s="363"/>
      <c r="R80" s="363"/>
      <c r="S80" s="363"/>
      <c r="T80" s="363"/>
      <c r="U80" s="363"/>
      <c r="V80" s="363"/>
      <c r="W80" s="363"/>
      <c r="X80" s="363"/>
      <c r="Y80" s="363"/>
      <c r="Z80" s="363"/>
      <c r="AA80" s="363"/>
      <c r="AB80" s="363"/>
      <c r="AC80" s="363"/>
      <c r="AD80" s="363"/>
      <c r="AE80" s="238"/>
      <c r="AF80" s="238"/>
      <c r="AG80" s="271"/>
      <c r="AH80" s="272"/>
      <c r="AI80" s="273"/>
      <c r="AJ80" s="40"/>
      <c r="AK80" s="40"/>
      <c r="AL80" s="400"/>
      <c r="AM80" s="403"/>
      <c r="AN80" s="401"/>
      <c r="AO80" s="396"/>
      <c r="AP80" s="346"/>
      <c r="AQ80" s="346"/>
      <c r="AR80" s="1"/>
      <c r="AS80" s="1"/>
    </row>
    <row r="81" spans="1:45" ht="12.75">
      <c r="A81" s="291" t="s">
        <v>24</v>
      </c>
      <c r="B81" s="293">
        <v>11394000</v>
      </c>
      <c r="C81" s="294">
        <v>2.9132</v>
      </c>
      <c r="D81" s="606">
        <v>8.85</v>
      </c>
      <c r="E81" s="294">
        <v>78</v>
      </c>
      <c r="F81" s="294">
        <v>0.93</v>
      </c>
      <c r="G81" s="300"/>
      <c r="H81" s="300"/>
      <c r="I81" s="308"/>
      <c r="J81" s="294"/>
      <c r="K81" s="299">
        <v>2.959</v>
      </c>
      <c r="L81" s="299">
        <v>2.981</v>
      </c>
      <c r="M81" s="299">
        <v>3.045</v>
      </c>
      <c r="N81" s="299">
        <v>2.956</v>
      </c>
      <c r="O81" s="299">
        <v>2.936</v>
      </c>
      <c r="P81" s="299">
        <v>2.524</v>
      </c>
      <c r="Q81" s="363"/>
      <c r="R81" s="363"/>
      <c r="S81" s="363"/>
      <c r="T81" s="363"/>
      <c r="U81" s="363"/>
      <c r="V81" s="363"/>
      <c r="W81" s="363"/>
      <c r="X81" s="363"/>
      <c r="Y81" s="363"/>
      <c r="Z81" s="363"/>
      <c r="AA81" s="363"/>
      <c r="AB81" s="363"/>
      <c r="AC81" s="363"/>
      <c r="AD81" s="363"/>
      <c r="AE81" s="238"/>
      <c r="AF81" s="238"/>
      <c r="AG81" s="271"/>
      <c r="AH81" s="272"/>
      <c r="AI81" s="273"/>
      <c r="AJ81" s="40"/>
      <c r="AK81" s="40"/>
      <c r="AL81" s="400"/>
      <c r="AM81" s="403"/>
      <c r="AN81" s="401"/>
      <c r="AO81" s="396"/>
      <c r="AP81" s="346"/>
      <c r="AQ81" s="346"/>
      <c r="AR81" s="1"/>
      <c r="AS81" s="1"/>
    </row>
    <row r="82" spans="1:45" ht="12.75">
      <c r="A82" s="291" t="s">
        <v>97</v>
      </c>
      <c r="B82" s="293">
        <v>1049000</v>
      </c>
      <c r="C82" s="294">
        <v>7.740399999999999</v>
      </c>
      <c r="D82" s="606">
        <v>1.95</v>
      </c>
      <c r="E82" s="294">
        <v>78.8</v>
      </c>
      <c r="F82" s="305"/>
      <c r="G82" s="296"/>
      <c r="H82" s="296"/>
      <c r="I82" s="298">
        <v>21858.833333333332</v>
      </c>
      <c r="J82" s="294"/>
      <c r="K82" s="299">
        <v>8.189</v>
      </c>
      <c r="L82" s="299">
        <v>8.786</v>
      </c>
      <c r="M82" s="299">
        <v>8.559</v>
      </c>
      <c r="N82" s="299">
        <v>8.406</v>
      </c>
      <c r="O82" s="299">
        <v>8.709</v>
      </c>
      <c r="P82" s="299">
        <v>8.739</v>
      </c>
      <c r="Q82" s="363"/>
      <c r="R82" s="363"/>
      <c r="S82" s="363"/>
      <c r="T82" s="363"/>
      <c r="U82" s="363"/>
      <c r="V82" s="363"/>
      <c r="W82" s="363"/>
      <c r="X82" s="363"/>
      <c r="Y82" s="363"/>
      <c r="Z82" s="363"/>
      <c r="AA82" s="363"/>
      <c r="AB82" s="363"/>
      <c r="AC82" s="363"/>
      <c r="AD82" s="363"/>
      <c r="AE82" s="238"/>
      <c r="AF82" s="238"/>
      <c r="AG82" s="271"/>
      <c r="AH82" s="272"/>
      <c r="AI82" s="273"/>
      <c r="AJ82" s="40"/>
      <c r="AK82" s="40"/>
      <c r="AL82" s="400"/>
      <c r="AM82" s="403"/>
      <c r="AN82" s="401"/>
      <c r="AO82" s="396"/>
      <c r="AP82" s="346"/>
      <c r="AQ82" s="346"/>
      <c r="AR82" s="1"/>
      <c r="AS82" s="1"/>
    </row>
    <row r="83" spans="1:45" ht="12.75">
      <c r="A83" s="291" t="s">
        <v>34</v>
      </c>
      <c r="B83" s="293">
        <v>10229000</v>
      </c>
      <c r="C83" s="294">
        <v>10.174142857142856</v>
      </c>
      <c r="D83" s="606">
        <v>0.45</v>
      </c>
      <c r="E83" s="294">
        <v>81.4</v>
      </c>
      <c r="F83" s="294">
        <v>1.915</v>
      </c>
      <c r="G83" s="296">
        <v>0.2997149564050972</v>
      </c>
      <c r="H83" s="296">
        <v>0.4606999706716199</v>
      </c>
      <c r="I83" s="293">
        <v>17606.5</v>
      </c>
      <c r="J83" s="294"/>
      <c r="K83" s="299">
        <v>9.211</v>
      </c>
      <c r="L83" s="299">
        <v>9.313</v>
      </c>
      <c r="M83" s="299">
        <v>9.023</v>
      </c>
      <c r="N83" s="299">
        <v>9.111</v>
      </c>
      <c r="O83" s="299">
        <v>8.812</v>
      </c>
      <c r="P83" s="299">
        <v>9.17</v>
      </c>
      <c r="Q83" s="363"/>
      <c r="R83" s="363"/>
      <c r="S83" s="363"/>
      <c r="T83" s="363"/>
      <c r="U83" s="363"/>
      <c r="V83" s="363"/>
      <c r="W83" s="363"/>
      <c r="X83" s="363"/>
      <c r="Y83" s="363"/>
      <c r="Z83" s="363"/>
      <c r="AA83" s="363"/>
      <c r="AB83" s="363"/>
      <c r="AC83" s="363"/>
      <c r="AD83" s="363"/>
      <c r="AE83" s="238"/>
      <c r="AF83" s="238"/>
      <c r="AG83" s="271"/>
      <c r="AH83" s="272"/>
      <c r="AI83" s="273"/>
      <c r="AJ83" s="40"/>
      <c r="AK83" s="40"/>
      <c r="AL83" s="400"/>
      <c r="AM83" s="403"/>
      <c r="AN83" s="401"/>
      <c r="AO83" s="396"/>
      <c r="AP83" s="346"/>
      <c r="AQ83" s="346"/>
      <c r="AR83" s="1"/>
      <c r="AS83" s="1"/>
    </row>
    <row r="84" spans="1:45" ht="12.75">
      <c r="A84" s="291" t="s">
        <v>105</v>
      </c>
      <c r="B84" s="293">
        <v>64390000</v>
      </c>
      <c r="C84" s="294">
        <v>0.08569999999999997</v>
      </c>
      <c r="D84" s="606">
        <v>-3</v>
      </c>
      <c r="E84" s="294">
        <v>46.8</v>
      </c>
      <c r="F84" s="294">
        <v>0.585</v>
      </c>
      <c r="G84" s="300"/>
      <c r="H84" s="300"/>
      <c r="I84" s="293">
        <v>242.83333333333334</v>
      </c>
      <c r="J84" s="294"/>
      <c r="K84" s="297">
        <v>0.052</v>
      </c>
      <c r="L84" s="297">
        <v>0.037</v>
      </c>
      <c r="M84" s="297">
        <v>0.032</v>
      </c>
      <c r="N84" s="297">
        <v>0.032</v>
      </c>
      <c r="O84" s="297">
        <v>0.04</v>
      </c>
      <c r="P84" s="297">
        <v>0.041</v>
      </c>
      <c r="Q84" s="363"/>
      <c r="R84" s="363"/>
      <c r="S84" s="363"/>
      <c r="T84" s="363"/>
      <c r="U84" s="363"/>
      <c r="V84" s="363"/>
      <c r="W84" s="363"/>
      <c r="X84" s="363"/>
      <c r="Y84" s="363"/>
      <c r="Z84" s="363"/>
      <c r="AA84" s="363"/>
      <c r="AB84" s="363"/>
      <c r="AC84" s="363"/>
      <c r="AD84" s="363"/>
      <c r="AE84" s="238"/>
      <c r="AF84" s="238"/>
      <c r="AG84" s="271"/>
      <c r="AH84" s="272"/>
      <c r="AI84" s="273"/>
      <c r="AJ84" s="40"/>
      <c r="AK84" s="40"/>
      <c r="AL84" s="400"/>
      <c r="AM84" s="403"/>
      <c r="AN84" s="401"/>
      <c r="AO84" s="396"/>
      <c r="AP84" s="346"/>
      <c r="AQ84" s="346"/>
      <c r="AR84" s="1"/>
      <c r="AS84" s="1"/>
    </row>
    <row r="85" spans="1:45" ht="12.75">
      <c r="A85" s="291" t="s">
        <v>42</v>
      </c>
      <c r="B85" s="293">
        <v>5468000</v>
      </c>
      <c r="C85" s="294">
        <v>12.2527</v>
      </c>
      <c r="D85" s="606">
        <v>3.15</v>
      </c>
      <c r="E85" s="294">
        <v>84.1</v>
      </c>
      <c r="F85" s="294">
        <v>3.55</v>
      </c>
      <c r="G85" s="300"/>
      <c r="H85" s="300"/>
      <c r="I85" s="293">
        <v>30816.833333333332</v>
      </c>
      <c r="J85" s="294"/>
      <c r="K85" s="299">
        <v>10.21</v>
      </c>
      <c r="L85" s="299">
        <v>10.464</v>
      </c>
      <c r="M85" s="299">
        <v>9.887</v>
      </c>
      <c r="N85" s="299">
        <v>11.437</v>
      </c>
      <c r="O85" s="299">
        <v>10.402</v>
      </c>
      <c r="P85" s="299">
        <v>9.548</v>
      </c>
      <c r="Q85" s="363"/>
      <c r="R85" s="363"/>
      <c r="S85" s="363"/>
      <c r="T85" s="363"/>
      <c r="U85" s="363"/>
      <c r="V85" s="363"/>
      <c r="W85" s="363"/>
      <c r="X85" s="363"/>
      <c r="Y85" s="363"/>
      <c r="Z85" s="363"/>
      <c r="AA85" s="363"/>
      <c r="AB85" s="363"/>
      <c r="AC85" s="363"/>
      <c r="AD85" s="363"/>
      <c r="AE85" s="238"/>
      <c r="AF85" s="238"/>
      <c r="AG85" s="271"/>
      <c r="AH85" s="272"/>
      <c r="AI85" s="273"/>
      <c r="AJ85" s="40"/>
      <c r="AK85" s="40"/>
      <c r="AL85" s="400"/>
      <c r="AM85" s="403"/>
      <c r="AN85" s="401"/>
      <c r="AO85" s="396"/>
      <c r="AP85" s="346"/>
      <c r="AQ85" s="346"/>
      <c r="AR85" s="1"/>
      <c r="AS85" s="1"/>
    </row>
    <row r="86" spans="1:45" ht="12.75">
      <c r="A86" s="291" t="s">
        <v>79</v>
      </c>
      <c r="B86" s="293">
        <v>694000</v>
      </c>
      <c r="C86" s="294">
        <v>3.1946</v>
      </c>
      <c r="D86" s="606">
        <v>0</v>
      </c>
      <c r="E86" s="294">
        <v>47.930793399001786</v>
      </c>
      <c r="F86" s="305"/>
      <c r="G86" s="300"/>
      <c r="H86" s="300"/>
      <c r="I86" s="298">
        <v>1672.6666666666667</v>
      </c>
      <c r="J86" s="294"/>
      <c r="K86" s="297">
        <v>2.765</v>
      </c>
      <c r="L86" s="297">
        <v>2.699</v>
      </c>
      <c r="M86" s="297">
        <v>2.616</v>
      </c>
      <c r="N86" s="297">
        <v>2.764</v>
      </c>
      <c r="O86" s="297">
        <v>2.95</v>
      </c>
      <c r="P86" s="297">
        <v>2.884</v>
      </c>
      <c r="Q86" s="363"/>
      <c r="R86" s="363"/>
      <c r="S86" s="363"/>
      <c r="T86" s="363"/>
      <c r="U86" s="363"/>
      <c r="V86" s="363"/>
      <c r="W86" s="363"/>
      <c r="X86" s="363"/>
      <c r="Y86" s="363"/>
      <c r="Z86" s="363"/>
      <c r="AA86" s="363"/>
      <c r="AB86" s="363"/>
      <c r="AC86" s="363"/>
      <c r="AD86" s="363"/>
      <c r="AE86" s="238"/>
      <c r="AF86" s="238"/>
      <c r="AG86" s="271"/>
      <c r="AH86" s="272"/>
      <c r="AI86" s="273"/>
      <c r="AJ86" s="40"/>
      <c r="AK86" s="40"/>
      <c r="AL86" s="400"/>
      <c r="AM86" s="403"/>
      <c r="AN86" s="401"/>
      <c r="AO86" s="396"/>
      <c r="AP86" s="346"/>
      <c r="AQ86" s="346"/>
      <c r="AR86" s="1"/>
      <c r="AS86" s="1"/>
    </row>
    <row r="87" spans="1:45" ht="12.75">
      <c r="A87" s="291" t="s">
        <v>177</v>
      </c>
      <c r="B87" s="293">
        <v>72000</v>
      </c>
      <c r="C87" s="294">
        <v>1.0243</v>
      </c>
      <c r="D87" s="606">
        <v>-8.1</v>
      </c>
      <c r="E87" s="305"/>
      <c r="F87" s="305"/>
      <c r="G87" s="295"/>
      <c r="H87" s="295"/>
      <c r="I87" s="293">
        <v>8248</v>
      </c>
      <c r="J87" s="294"/>
      <c r="K87" s="297">
        <v>1.124</v>
      </c>
      <c r="L87" s="297">
        <v>1.43</v>
      </c>
      <c r="M87" s="297">
        <v>1.557</v>
      </c>
      <c r="N87" s="297">
        <v>1.685</v>
      </c>
      <c r="O87" s="297">
        <v>1.502</v>
      </c>
      <c r="P87" s="297">
        <v>1.281</v>
      </c>
      <c r="Q87" s="363"/>
      <c r="R87" s="363"/>
      <c r="S87" s="363"/>
      <c r="T87" s="363"/>
      <c r="U87" s="363"/>
      <c r="V87" s="363"/>
      <c r="W87" s="363"/>
      <c r="X87" s="363"/>
      <c r="Y87" s="363"/>
      <c r="Z87" s="363"/>
      <c r="AA87" s="363"/>
      <c r="AB87" s="363"/>
      <c r="AC87" s="363"/>
      <c r="AD87" s="363"/>
      <c r="AE87" s="238"/>
      <c r="AF87" s="238"/>
      <c r="AG87" s="271"/>
      <c r="AH87" s="272"/>
      <c r="AI87" s="273"/>
      <c r="AJ87" s="40"/>
      <c r="AK87" s="40"/>
      <c r="AL87" s="400"/>
      <c r="AM87" s="403"/>
      <c r="AN87" s="401"/>
      <c r="AO87" s="396"/>
      <c r="AP87" s="346"/>
      <c r="AQ87" s="346"/>
      <c r="AR87" s="1"/>
      <c r="AS87" s="1"/>
    </row>
    <row r="88" spans="1:45" ht="12.75">
      <c r="A88" s="291" t="s">
        <v>46</v>
      </c>
      <c r="B88" s="293">
        <v>9426000</v>
      </c>
      <c r="C88" s="294">
        <v>1.4168999999999998</v>
      </c>
      <c r="D88" s="606">
        <v>0</v>
      </c>
      <c r="E88" s="294">
        <v>76.25</v>
      </c>
      <c r="F88" s="294">
        <v>0.995</v>
      </c>
      <c r="G88" s="300"/>
      <c r="H88" s="300"/>
      <c r="I88" s="293">
        <v>5608.5</v>
      </c>
      <c r="J88" s="294"/>
      <c r="K88" s="299">
        <v>1.865</v>
      </c>
      <c r="L88" s="299">
        <v>1.926</v>
      </c>
      <c r="M88" s="299">
        <v>1.957</v>
      </c>
      <c r="N88" s="299">
        <v>2.197</v>
      </c>
      <c r="O88" s="299">
        <v>2.006</v>
      </c>
      <c r="P88" s="299">
        <v>1.903</v>
      </c>
      <c r="Q88" s="363"/>
      <c r="R88" s="363"/>
      <c r="S88" s="363"/>
      <c r="T88" s="363"/>
      <c r="U88" s="363"/>
      <c r="V88" s="363"/>
      <c r="W88" s="363"/>
      <c r="X88" s="363"/>
      <c r="Y88" s="363"/>
      <c r="Z88" s="363"/>
      <c r="AA88" s="363"/>
      <c r="AB88" s="363"/>
      <c r="AC88" s="363"/>
      <c r="AD88" s="363"/>
      <c r="AE88" s="238"/>
      <c r="AF88" s="238"/>
      <c r="AG88" s="271"/>
      <c r="AH88" s="272"/>
      <c r="AI88" s="273"/>
      <c r="AJ88" s="40"/>
      <c r="AK88" s="40"/>
      <c r="AL88" s="400"/>
      <c r="AM88" s="403"/>
      <c r="AN88" s="401"/>
      <c r="AO88" s="396"/>
      <c r="AP88" s="346"/>
      <c r="AQ88" s="346"/>
      <c r="AR88" s="1"/>
      <c r="AS88" s="1"/>
    </row>
    <row r="89" spans="1:45" ht="12.75">
      <c r="A89" s="291" t="s">
        <v>40</v>
      </c>
      <c r="B89" s="293">
        <v>14135000</v>
      </c>
      <c r="C89" s="294">
        <v>1.6413999999999997</v>
      </c>
      <c r="D89" s="606">
        <v>-16.05</v>
      </c>
      <c r="E89" s="294">
        <v>79.95</v>
      </c>
      <c r="F89" s="294">
        <v>1.265</v>
      </c>
      <c r="G89" s="300"/>
      <c r="H89" s="300"/>
      <c r="I89" s="293">
        <v>5533.333333333333</v>
      </c>
      <c r="J89" s="294"/>
      <c r="K89" s="299">
        <v>1.613</v>
      </c>
      <c r="L89" s="299">
        <v>1.704</v>
      </c>
      <c r="M89" s="299">
        <v>1.694</v>
      </c>
      <c r="N89" s="299">
        <v>1.716</v>
      </c>
      <c r="O89" s="299">
        <v>1.76</v>
      </c>
      <c r="P89" s="299">
        <v>1.805</v>
      </c>
      <c r="Q89" s="363"/>
      <c r="R89" s="363"/>
      <c r="S89" s="363"/>
      <c r="T89" s="363"/>
      <c r="U89" s="363"/>
      <c r="V89" s="363"/>
      <c r="W89" s="363"/>
      <c r="X89" s="363"/>
      <c r="Y89" s="363"/>
      <c r="Z89" s="363"/>
      <c r="AA89" s="363"/>
      <c r="AB89" s="363"/>
      <c r="AC89" s="363"/>
      <c r="AD89" s="363"/>
      <c r="AE89" s="238"/>
      <c r="AF89" s="238"/>
      <c r="AG89" s="271"/>
      <c r="AH89" s="272"/>
      <c r="AI89" s="273"/>
      <c r="AJ89" s="40"/>
      <c r="AK89" s="40"/>
      <c r="AL89" s="400"/>
      <c r="AM89" s="403"/>
      <c r="AN89" s="401"/>
      <c r="AO89" s="396"/>
      <c r="AP89" s="346"/>
      <c r="AQ89" s="346"/>
      <c r="AR89" s="1"/>
      <c r="AS89" s="1"/>
    </row>
    <row r="90" spans="1:45" ht="12.75">
      <c r="A90" s="291" t="s">
        <v>73</v>
      </c>
      <c r="B90" s="293">
        <v>75677000</v>
      </c>
      <c r="C90" s="294">
        <v>1.7406</v>
      </c>
      <c r="D90" s="606">
        <v>0.15</v>
      </c>
      <c r="E90" s="294">
        <v>67.1</v>
      </c>
      <c r="F90" s="294">
        <v>0.94</v>
      </c>
      <c r="G90" s="300"/>
      <c r="H90" s="300"/>
      <c r="I90" s="293">
        <v>4024.5</v>
      </c>
      <c r="J90" s="294"/>
      <c r="K90" s="297">
        <v>1.841</v>
      </c>
      <c r="L90" s="297">
        <v>1.942</v>
      </c>
      <c r="M90" s="297">
        <v>1.961</v>
      </c>
      <c r="N90" s="297">
        <v>2.061</v>
      </c>
      <c r="O90" s="297">
        <v>2.152</v>
      </c>
      <c r="P90" s="297">
        <v>2.217</v>
      </c>
      <c r="Q90" s="363"/>
      <c r="R90" s="363"/>
      <c r="S90" s="363"/>
      <c r="T90" s="363"/>
      <c r="U90" s="363"/>
      <c r="V90" s="363"/>
      <c r="W90" s="363"/>
      <c r="X90" s="363"/>
      <c r="Y90" s="363"/>
      <c r="Z90" s="363"/>
      <c r="AA90" s="363"/>
      <c r="AB90" s="363"/>
      <c r="AC90" s="363"/>
      <c r="AD90" s="363"/>
      <c r="AE90" s="238"/>
      <c r="AF90" s="238"/>
      <c r="AG90" s="271"/>
      <c r="AH90" s="272"/>
      <c r="AI90" s="273"/>
      <c r="AJ90" s="40"/>
      <c r="AK90" s="40"/>
      <c r="AL90" s="400"/>
      <c r="AM90" s="403"/>
      <c r="AN90" s="401"/>
      <c r="AO90" s="396"/>
      <c r="AP90" s="346"/>
      <c r="AQ90" s="346"/>
      <c r="AR90" s="1"/>
      <c r="AS90" s="1"/>
    </row>
    <row r="91" spans="1:45" ht="12.75">
      <c r="A91" s="291" t="s">
        <v>44</v>
      </c>
      <c r="B91" s="293">
        <v>5982000</v>
      </c>
      <c r="C91" s="294">
        <v>0.7261</v>
      </c>
      <c r="D91" s="606">
        <v>-4.95</v>
      </c>
      <c r="E91" s="294">
        <v>70.1</v>
      </c>
      <c r="F91" s="294">
        <v>0.965</v>
      </c>
      <c r="G91" s="300"/>
      <c r="H91" s="300"/>
      <c r="I91" s="293">
        <v>5070.166666666667</v>
      </c>
      <c r="J91" s="294"/>
      <c r="K91" s="297">
        <v>0.942</v>
      </c>
      <c r="L91" s="297">
        <v>0.969</v>
      </c>
      <c r="M91" s="297">
        <v>0.977</v>
      </c>
      <c r="N91" s="297">
        <v>1.027</v>
      </c>
      <c r="O91" s="297">
        <v>1.015</v>
      </c>
      <c r="P91" s="297">
        <v>1.043</v>
      </c>
      <c r="Q91" s="363"/>
      <c r="R91" s="363"/>
      <c r="S91" s="363"/>
      <c r="T91" s="363"/>
      <c r="U91" s="363"/>
      <c r="V91" s="363"/>
      <c r="W91" s="363"/>
      <c r="X91" s="363"/>
      <c r="Y91" s="363"/>
      <c r="Z91" s="363"/>
      <c r="AA91" s="363"/>
      <c r="AB91" s="363"/>
      <c r="AC91" s="363"/>
      <c r="AD91" s="363"/>
      <c r="AE91" s="238"/>
      <c r="AF91" s="238"/>
      <c r="AG91" s="271"/>
      <c r="AH91" s="272"/>
      <c r="AI91" s="273"/>
      <c r="AJ91" s="40"/>
      <c r="AK91" s="40"/>
      <c r="AL91" s="400"/>
      <c r="AM91" s="403"/>
      <c r="AN91" s="401"/>
      <c r="AO91" s="396"/>
      <c r="AP91" s="346"/>
      <c r="AQ91" s="346"/>
      <c r="AR91" s="1"/>
      <c r="AS91" s="1"/>
    </row>
    <row r="92" spans="1:45" ht="12.75">
      <c r="A92" s="291" t="s">
        <v>139</v>
      </c>
      <c r="B92" s="293">
        <v>600000</v>
      </c>
      <c r="C92" s="294">
        <v>2.3212</v>
      </c>
      <c r="D92" s="606">
        <v>-9.3</v>
      </c>
      <c r="E92" s="294">
        <v>48.845425577385186</v>
      </c>
      <c r="F92" s="305"/>
      <c r="G92" s="300"/>
      <c r="H92" s="300"/>
      <c r="I92" s="293">
        <v>16382.333333333334</v>
      </c>
      <c r="J92" s="294"/>
      <c r="K92" s="297">
        <v>4.178</v>
      </c>
      <c r="L92" s="297">
        <v>4.054</v>
      </c>
      <c r="M92" s="297">
        <v>7.561</v>
      </c>
      <c r="N92" s="297">
        <v>9.167</v>
      </c>
      <c r="O92" s="297">
        <v>6.905</v>
      </c>
      <c r="P92" s="297">
        <v>8.627</v>
      </c>
      <c r="Q92" s="363"/>
      <c r="R92" s="363"/>
      <c r="S92" s="363"/>
      <c r="T92" s="363"/>
      <c r="U92" s="363"/>
      <c r="V92" s="363"/>
      <c r="W92" s="363"/>
      <c r="X92" s="363"/>
      <c r="Y92" s="363"/>
      <c r="Z92" s="363"/>
      <c r="AA92" s="363"/>
      <c r="AB92" s="363"/>
      <c r="AC92" s="363"/>
      <c r="AD92" s="363"/>
      <c r="AE92" s="238"/>
      <c r="AF92" s="238"/>
      <c r="AG92" s="271"/>
      <c r="AH92" s="272"/>
      <c r="AI92" s="273"/>
      <c r="AJ92" s="40"/>
      <c r="AK92" s="40"/>
      <c r="AL92" s="400"/>
      <c r="AM92" s="403"/>
      <c r="AN92" s="401"/>
      <c r="AO92" s="396"/>
      <c r="AP92" s="346"/>
      <c r="AQ92" s="346"/>
      <c r="AR92" s="1"/>
      <c r="AS92" s="1"/>
    </row>
    <row r="93" spans="1:45" ht="12.75">
      <c r="A93" s="291" t="s">
        <v>100</v>
      </c>
      <c r="B93" s="293">
        <v>5358000</v>
      </c>
      <c r="C93" s="294">
        <v>0.29383333333333334</v>
      </c>
      <c r="D93" s="606">
        <v>-0.9</v>
      </c>
      <c r="E93" s="294">
        <v>56.378002532687255</v>
      </c>
      <c r="F93" s="294">
        <v>0.755</v>
      </c>
      <c r="G93" s="300"/>
      <c r="H93" s="300"/>
      <c r="I93" s="293">
        <v>592.1666666666666</v>
      </c>
      <c r="J93" s="294"/>
      <c r="K93" s="297">
        <v>0.153</v>
      </c>
      <c r="L93" s="297">
        <v>0.174</v>
      </c>
      <c r="M93" s="297">
        <v>0.159</v>
      </c>
      <c r="N93" s="297">
        <v>0.172</v>
      </c>
      <c r="O93" s="297">
        <v>0.155</v>
      </c>
      <c r="P93" s="297">
        <v>0.142</v>
      </c>
      <c r="Q93" s="363"/>
      <c r="R93" s="363"/>
      <c r="S93" s="363"/>
      <c r="T93" s="363"/>
      <c r="U93" s="363"/>
      <c r="V93" s="363"/>
      <c r="W93" s="363"/>
      <c r="X93" s="363"/>
      <c r="Y93" s="363"/>
      <c r="Z93" s="363"/>
      <c r="AA93" s="363"/>
      <c r="AB93" s="363"/>
      <c r="AC93" s="363"/>
      <c r="AD93" s="363"/>
      <c r="AE93" s="238"/>
      <c r="AF93" s="238"/>
      <c r="AG93" s="271"/>
      <c r="AH93" s="272"/>
      <c r="AI93" s="273"/>
      <c r="AJ93" s="40"/>
      <c r="AK93" s="40"/>
      <c r="AL93" s="400"/>
      <c r="AM93" s="403"/>
      <c r="AN93" s="401"/>
      <c r="AO93" s="396"/>
      <c r="AP93" s="346"/>
      <c r="AQ93" s="346"/>
      <c r="AR93" s="1"/>
      <c r="AS93" s="1"/>
    </row>
    <row r="94" spans="1:45" ht="12.75">
      <c r="A94" s="291" t="s">
        <v>64</v>
      </c>
      <c r="B94" s="293">
        <v>1316000</v>
      </c>
      <c r="C94" s="294">
        <v>12.643875</v>
      </c>
      <c r="D94" s="606">
        <v>5.7</v>
      </c>
      <c r="E94" s="294">
        <v>80.86541777415748</v>
      </c>
      <c r="F94" s="294">
        <v>3.285</v>
      </c>
      <c r="G94" s="300"/>
      <c r="H94" s="300"/>
      <c r="I94" s="293">
        <v>12883.666666666666</v>
      </c>
      <c r="J94" s="294"/>
      <c r="K94" s="297">
        <v>11.794</v>
      </c>
      <c r="L94" s="297">
        <v>12.155</v>
      </c>
      <c r="M94" s="297">
        <v>12.138</v>
      </c>
      <c r="N94" s="297">
        <v>13.793</v>
      </c>
      <c r="O94" s="297">
        <v>14.363</v>
      </c>
      <c r="P94" s="297">
        <v>14.177</v>
      </c>
      <c r="Q94" s="363"/>
      <c r="R94" s="363"/>
      <c r="S94" s="363"/>
      <c r="T94" s="363"/>
      <c r="U94" s="363"/>
      <c r="V94" s="363"/>
      <c r="W94" s="363"/>
      <c r="X94" s="363"/>
      <c r="Y94" s="363"/>
      <c r="Z94" s="363"/>
      <c r="AA94" s="363"/>
      <c r="AB94" s="363"/>
      <c r="AC94" s="363"/>
      <c r="AD94" s="363"/>
      <c r="AE94" s="238"/>
      <c r="AF94" s="238"/>
      <c r="AG94" s="271"/>
      <c r="AH94" s="272"/>
      <c r="AI94" s="273"/>
      <c r="AJ94" s="40"/>
      <c r="AK94" s="40"/>
      <c r="AL94" s="400"/>
      <c r="AM94" s="403"/>
      <c r="AN94" s="401"/>
      <c r="AO94" s="396"/>
      <c r="AP94" s="346"/>
      <c r="AQ94" s="346"/>
      <c r="AR94" s="1"/>
      <c r="AS94" s="1"/>
    </row>
    <row r="95" spans="1:45" ht="12.75">
      <c r="A95" s="291" t="s">
        <v>135</v>
      </c>
      <c r="B95" s="293">
        <v>79936000</v>
      </c>
      <c r="C95" s="294">
        <v>0.0467</v>
      </c>
      <c r="D95" s="606">
        <v>-2.85</v>
      </c>
      <c r="E95" s="294">
        <v>47.75</v>
      </c>
      <c r="F95" s="294">
        <v>1.045</v>
      </c>
      <c r="G95" s="300"/>
      <c r="H95" s="300"/>
      <c r="I95" s="293">
        <v>528.8333333333334</v>
      </c>
      <c r="J95" s="294"/>
      <c r="K95" s="297">
        <v>0.054</v>
      </c>
      <c r="L95" s="297">
        <v>0.054</v>
      </c>
      <c r="M95" s="297">
        <v>0.057</v>
      </c>
      <c r="N95" s="297">
        <v>0.059</v>
      </c>
      <c r="O95" s="297">
        <v>0.06</v>
      </c>
      <c r="P95" s="297">
        <v>0.061</v>
      </c>
      <c r="Q95" s="363"/>
      <c r="R95" s="363"/>
      <c r="S95" s="363"/>
      <c r="T95" s="363"/>
      <c r="U95" s="363"/>
      <c r="V95" s="363"/>
      <c r="W95" s="363"/>
      <c r="X95" s="363"/>
      <c r="Y95" s="363"/>
      <c r="Z95" s="363"/>
      <c r="AA95" s="363"/>
      <c r="AB95" s="363"/>
      <c r="AC95" s="363"/>
      <c r="AD95" s="363"/>
      <c r="AE95" s="238"/>
      <c r="AF95" s="238"/>
      <c r="AG95" s="271"/>
      <c r="AH95" s="272"/>
      <c r="AI95" s="273"/>
      <c r="AJ95" s="40"/>
      <c r="AK95" s="40"/>
      <c r="AL95" s="400"/>
      <c r="AM95" s="403"/>
      <c r="AN95" s="401"/>
      <c r="AO95" s="396"/>
      <c r="AP95" s="346"/>
      <c r="AQ95" s="346"/>
      <c r="AR95" s="1"/>
      <c r="AS95" s="1"/>
    </row>
    <row r="96" spans="1:45" ht="12.75">
      <c r="A96" s="291" t="s">
        <v>161</v>
      </c>
      <c r="B96" s="293">
        <v>48000</v>
      </c>
      <c r="C96" s="294">
        <v>14.389375</v>
      </c>
      <c r="D96" s="606">
        <v>0</v>
      </c>
      <c r="E96" s="305"/>
      <c r="F96" s="305"/>
      <c r="G96" s="295"/>
      <c r="H96" s="295"/>
      <c r="I96" s="308"/>
      <c r="J96" s="294"/>
      <c r="K96" s="299">
        <v>14.715</v>
      </c>
      <c r="L96" s="299">
        <v>14.464</v>
      </c>
      <c r="M96" s="299">
        <v>14.232</v>
      </c>
      <c r="N96" s="299">
        <v>14.184</v>
      </c>
      <c r="O96" s="299">
        <v>14.259</v>
      </c>
      <c r="P96" s="299">
        <v>14.344</v>
      </c>
      <c r="Q96" s="363"/>
      <c r="R96" s="363"/>
      <c r="S96" s="363"/>
      <c r="T96" s="363"/>
      <c r="U96" s="363"/>
      <c r="V96" s="363"/>
      <c r="W96" s="363"/>
      <c r="X96" s="363"/>
      <c r="Y96" s="363"/>
      <c r="Z96" s="363"/>
      <c r="AA96" s="363"/>
      <c r="AB96" s="363"/>
      <c r="AC96" s="363"/>
      <c r="AD96" s="363"/>
      <c r="AE96" s="238"/>
      <c r="AF96" s="238"/>
      <c r="AG96" s="271"/>
      <c r="AH96" s="272"/>
      <c r="AI96" s="273"/>
      <c r="AJ96" s="40"/>
      <c r="AK96" s="40"/>
      <c r="AL96" s="400"/>
      <c r="AM96" s="403"/>
      <c r="AN96" s="401"/>
      <c r="AO96" s="396"/>
      <c r="AP96" s="346"/>
      <c r="AQ96" s="346"/>
      <c r="AR96" s="1"/>
      <c r="AS96" s="1"/>
    </row>
    <row r="97" spans="1:45" ht="12.75">
      <c r="A97" s="291" t="s">
        <v>57</v>
      </c>
      <c r="B97" s="293">
        <v>852000</v>
      </c>
      <c r="C97" s="294">
        <v>1.3386</v>
      </c>
      <c r="D97" s="606">
        <v>3.6</v>
      </c>
      <c r="E97" s="294">
        <v>66.1539861368401</v>
      </c>
      <c r="F97" s="305"/>
      <c r="G97" s="296"/>
      <c r="H97" s="296"/>
      <c r="I97" s="293">
        <v>3854.6666666666665</v>
      </c>
      <c r="J97" s="294"/>
      <c r="K97" s="297">
        <v>1.784</v>
      </c>
      <c r="L97" s="297">
        <v>1.882</v>
      </c>
      <c r="M97" s="297">
        <v>2.155</v>
      </c>
      <c r="N97" s="297">
        <v>2.772</v>
      </c>
      <c r="O97" s="297">
        <v>3.217</v>
      </c>
      <c r="P97" s="297">
        <v>3.054</v>
      </c>
      <c r="Q97" s="363"/>
      <c r="R97" s="363"/>
      <c r="S97" s="363"/>
      <c r="T97" s="363"/>
      <c r="U97" s="363"/>
      <c r="V97" s="363"/>
      <c r="W97" s="363"/>
      <c r="X97" s="363"/>
      <c r="Y97" s="363"/>
      <c r="Z97" s="363"/>
      <c r="AA97" s="363"/>
      <c r="AB97" s="363"/>
      <c r="AC97" s="363"/>
      <c r="AD97" s="363"/>
      <c r="AE97" s="238"/>
      <c r="AF97" s="238"/>
      <c r="AG97" s="271"/>
      <c r="AH97" s="272"/>
      <c r="AI97" s="273"/>
      <c r="AJ97" s="40"/>
      <c r="AK97" s="40"/>
      <c r="AL97" s="400"/>
      <c r="AM97" s="403"/>
      <c r="AN97" s="401"/>
      <c r="AO97" s="396"/>
      <c r="AP97" s="346"/>
      <c r="AQ97" s="346"/>
      <c r="AR97" s="1"/>
      <c r="AS97" s="1"/>
    </row>
    <row r="98" spans="1:45" ht="12.75">
      <c r="A98" s="291" t="s">
        <v>3</v>
      </c>
      <c r="B98" s="293">
        <v>5238000</v>
      </c>
      <c r="C98" s="294">
        <v>10.212700000000002</v>
      </c>
      <c r="D98" s="606">
        <v>1.35</v>
      </c>
      <c r="E98" s="294">
        <v>89.2</v>
      </c>
      <c r="F98" s="294">
        <v>3.56</v>
      </c>
      <c r="G98" s="296">
        <v>0.9309153295959792</v>
      </c>
      <c r="H98" s="296">
        <v>1.0372915871197659</v>
      </c>
      <c r="I98" s="293">
        <v>27987.166666666668</v>
      </c>
      <c r="J98" s="294"/>
      <c r="K98" s="299">
        <v>9.697</v>
      </c>
      <c r="L98" s="299">
        <v>10.25</v>
      </c>
      <c r="M98" s="299">
        <v>10.308</v>
      </c>
      <c r="N98" s="299">
        <v>12.809</v>
      </c>
      <c r="O98" s="299">
        <v>11.787</v>
      </c>
      <c r="P98" s="299">
        <v>9.941</v>
      </c>
      <c r="Q98" s="363"/>
      <c r="R98" s="363"/>
      <c r="S98" s="363"/>
      <c r="T98" s="363"/>
      <c r="U98" s="363"/>
      <c r="V98" s="363"/>
      <c r="W98" s="363"/>
      <c r="X98" s="363"/>
      <c r="Y98" s="363"/>
      <c r="Z98" s="363"/>
      <c r="AA98" s="363"/>
      <c r="AB98" s="363"/>
      <c r="AC98" s="363"/>
      <c r="AD98" s="363"/>
      <c r="AE98" s="238"/>
      <c r="AF98" s="238"/>
      <c r="AG98" s="271"/>
      <c r="AH98" s="272"/>
      <c r="AI98" s="273"/>
      <c r="AJ98" s="40"/>
      <c r="AK98" s="40"/>
      <c r="AL98" s="400"/>
      <c r="AM98" s="403"/>
      <c r="AN98" s="401"/>
      <c r="AO98" s="396"/>
      <c r="AP98" s="346"/>
      <c r="AQ98" s="346"/>
      <c r="AR98" s="1"/>
      <c r="AS98" s="1"/>
    </row>
    <row r="99" spans="1:45" ht="12.75">
      <c r="A99" s="291" t="s">
        <v>22</v>
      </c>
      <c r="B99" s="293">
        <v>62226000</v>
      </c>
      <c r="C99" s="294">
        <v>6.5827</v>
      </c>
      <c r="D99" s="606">
        <v>3.3</v>
      </c>
      <c r="E99" s="294">
        <v>85.15</v>
      </c>
      <c r="F99" s="294">
        <v>2.23</v>
      </c>
      <c r="G99" s="295">
        <v>1.5153565146800163</v>
      </c>
      <c r="H99" s="295">
        <v>1.6660372405961066</v>
      </c>
      <c r="I99" s="293">
        <v>27408.5</v>
      </c>
      <c r="J99" s="294"/>
      <c r="K99" s="299">
        <v>6.727</v>
      </c>
      <c r="L99" s="299">
        <v>6.757</v>
      </c>
      <c r="M99" s="299">
        <v>6.655</v>
      </c>
      <c r="N99" s="299">
        <v>6.729</v>
      </c>
      <c r="O99" s="299">
        <v>6.731</v>
      </c>
      <c r="P99" s="299">
        <v>6.738</v>
      </c>
      <c r="Q99" s="363"/>
      <c r="R99" s="363"/>
      <c r="S99" s="363"/>
      <c r="T99" s="363"/>
      <c r="U99" s="363"/>
      <c r="V99" s="363"/>
      <c r="W99" s="363"/>
      <c r="X99" s="363"/>
      <c r="Y99" s="363"/>
      <c r="Z99" s="363"/>
      <c r="AA99" s="363"/>
      <c r="AB99" s="363"/>
      <c r="AC99" s="363"/>
      <c r="AD99" s="363"/>
      <c r="AE99" s="238"/>
      <c r="AF99" s="238"/>
      <c r="AG99" s="271"/>
      <c r="AH99" s="272"/>
      <c r="AI99" s="273"/>
      <c r="AJ99" s="40"/>
      <c r="AK99" s="40"/>
      <c r="AL99" s="400"/>
      <c r="AM99" s="403"/>
      <c r="AN99" s="401"/>
      <c r="AO99" s="396"/>
      <c r="AP99" s="346"/>
      <c r="AQ99" s="346"/>
      <c r="AR99" s="1"/>
      <c r="AS99" s="1"/>
    </row>
    <row r="100" spans="1:45" ht="12.75">
      <c r="A100" s="291" t="s">
        <v>171</v>
      </c>
      <c r="B100" s="293">
        <v>191000</v>
      </c>
      <c r="C100" s="294">
        <v>6.0456</v>
      </c>
      <c r="D100" s="606">
        <v>-1.05</v>
      </c>
      <c r="E100" s="305"/>
      <c r="F100" s="305"/>
      <c r="G100" s="295"/>
      <c r="H100" s="295"/>
      <c r="I100" s="308"/>
      <c r="J100" s="294"/>
      <c r="K100" s="299">
        <v>5.864</v>
      </c>
      <c r="L100" s="299">
        <v>5.614</v>
      </c>
      <c r="M100" s="299">
        <v>5.601</v>
      </c>
      <c r="N100" s="299">
        <v>5.701</v>
      </c>
      <c r="O100" s="299">
        <v>5.433</v>
      </c>
      <c r="P100" s="299">
        <v>5.545</v>
      </c>
      <c r="Q100" s="363"/>
      <c r="R100" s="363"/>
      <c r="S100" s="363"/>
      <c r="T100" s="363"/>
      <c r="U100" s="363"/>
      <c r="V100" s="363"/>
      <c r="W100" s="363"/>
      <c r="X100" s="363"/>
      <c r="Y100" s="363"/>
      <c r="Z100" s="363"/>
      <c r="AA100" s="363"/>
      <c r="AB100" s="363"/>
      <c r="AC100" s="363"/>
      <c r="AD100" s="363"/>
      <c r="AE100" s="238"/>
      <c r="AF100" s="238"/>
      <c r="AG100" s="271"/>
      <c r="AH100" s="272"/>
      <c r="AI100" s="273"/>
      <c r="AJ100" s="40"/>
      <c r="AK100" s="40"/>
      <c r="AL100" s="400"/>
      <c r="AM100" s="403"/>
      <c r="AN100" s="401"/>
      <c r="AO100" s="396"/>
      <c r="AP100" s="346"/>
      <c r="AQ100" s="346"/>
      <c r="AR100" s="1"/>
      <c r="AS100" s="1"/>
    </row>
    <row r="101" spans="1:45" ht="12.75">
      <c r="A101" s="291" t="s">
        <v>173</v>
      </c>
      <c r="B101" s="293">
        <v>279000</v>
      </c>
      <c r="C101" s="294">
        <v>3.5281</v>
      </c>
      <c r="D101" s="606">
        <v>25.38</v>
      </c>
      <c r="E101" s="305"/>
      <c r="F101" s="305"/>
      <c r="G101" s="295"/>
      <c r="H101" s="295"/>
      <c r="I101" s="308"/>
      <c r="J101" s="294"/>
      <c r="K101" s="297">
        <v>2.715</v>
      </c>
      <c r="L101" s="297">
        <v>2.668</v>
      </c>
      <c r="M101" s="297">
        <v>2.693</v>
      </c>
      <c r="N101" s="297">
        <v>3.281</v>
      </c>
      <c r="O101" s="297">
        <v>3.218</v>
      </c>
      <c r="P101" s="297">
        <v>3.403</v>
      </c>
      <c r="Q101" s="363"/>
      <c r="R101" s="363"/>
      <c r="S101" s="363"/>
      <c r="T101" s="363"/>
      <c r="U101" s="363"/>
      <c r="V101" s="363"/>
      <c r="W101" s="363"/>
      <c r="X101" s="363"/>
      <c r="Y101" s="363"/>
      <c r="Z101" s="363"/>
      <c r="AA101" s="363"/>
      <c r="AB101" s="363"/>
      <c r="AC101" s="363"/>
      <c r="AD101" s="363"/>
      <c r="AE101" s="238"/>
      <c r="AF101" s="238"/>
      <c r="AG101" s="271"/>
      <c r="AH101" s="273"/>
      <c r="AI101" s="273"/>
      <c r="AJ101" s="40"/>
      <c r="AK101" s="40"/>
      <c r="AL101" s="400"/>
      <c r="AM101" s="403"/>
      <c r="AN101" s="401"/>
      <c r="AO101" s="396"/>
      <c r="AP101" s="346"/>
      <c r="AQ101" s="346"/>
      <c r="AR101" s="1"/>
      <c r="AS101" s="1"/>
    </row>
    <row r="102" spans="1:45" ht="12.75">
      <c r="A102" s="291" t="s">
        <v>96</v>
      </c>
      <c r="B102" s="293">
        <v>1456000</v>
      </c>
      <c r="C102" s="294">
        <v>5.413</v>
      </c>
      <c r="D102" s="606">
        <v>0</v>
      </c>
      <c r="E102" s="294">
        <v>75.25</v>
      </c>
      <c r="F102" s="294">
        <v>1.345</v>
      </c>
      <c r="G102" s="300"/>
      <c r="H102" s="300"/>
      <c r="I102" s="293">
        <v>12221.5</v>
      </c>
      <c r="J102" s="294"/>
      <c r="K102" s="297">
        <v>4.103</v>
      </c>
      <c r="L102" s="297">
        <v>3.902</v>
      </c>
      <c r="M102" s="297">
        <v>3.621</v>
      </c>
      <c r="N102" s="297">
        <v>3.671</v>
      </c>
      <c r="O102" s="297">
        <v>3.611</v>
      </c>
      <c r="P102" s="297">
        <v>3.542</v>
      </c>
      <c r="Q102" s="363"/>
      <c r="R102" s="363"/>
      <c r="S102" s="363"/>
      <c r="T102" s="363"/>
      <c r="U102" s="363"/>
      <c r="V102" s="363"/>
      <c r="W102" s="363"/>
      <c r="X102" s="363"/>
      <c r="Y102" s="363"/>
      <c r="Z102" s="363"/>
      <c r="AA102" s="363"/>
      <c r="AB102" s="363"/>
      <c r="AC102" s="363"/>
      <c r="AD102" s="363"/>
      <c r="AE102" s="238"/>
      <c r="AF102" s="238"/>
      <c r="AG102" s="271"/>
      <c r="AH102" s="272"/>
      <c r="AI102" s="273"/>
      <c r="AJ102" s="40"/>
      <c r="AK102" s="40"/>
      <c r="AL102" s="400"/>
      <c r="AM102" s="403"/>
      <c r="AN102" s="401"/>
      <c r="AO102" s="396"/>
      <c r="AP102" s="346"/>
      <c r="AQ102" s="346"/>
      <c r="AR102" s="1"/>
      <c r="AS102" s="1"/>
    </row>
    <row r="103" spans="1:45" ht="12.75">
      <c r="A103" s="291" t="s">
        <v>113</v>
      </c>
      <c r="B103" s="293">
        <v>1686000</v>
      </c>
      <c r="C103" s="294">
        <v>0.1948</v>
      </c>
      <c r="D103" s="606">
        <v>4.35</v>
      </c>
      <c r="E103" s="294">
        <v>57.040477702979516</v>
      </c>
      <c r="F103" s="294">
        <v>1.135</v>
      </c>
      <c r="G103" s="300"/>
      <c r="H103" s="300"/>
      <c r="I103" s="293">
        <v>1091.1666666666667</v>
      </c>
      <c r="J103" s="294"/>
      <c r="K103" s="297">
        <v>0.193</v>
      </c>
      <c r="L103" s="297">
        <v>0.2</v>
      </c>
      <c r="M103" s="297">
        <v>0.198</v>
      </c>
      <c r="N103" s="297">
        <v>0.194</v>
      </c>
      <c r="O103" s="297">
        <v>0.191</v>
      </c>
      <c r="P103" s="297">
        <v>0.191</v>
      </c>
      <c r="Q103" s="363"/>
      <c r="R103" s="363"/>
      <c r="S103" s="363"/>
      <c r="T103" s="363"/>
      <c r="U103" s="363"/>
      <c r="V103" s="363"/>
      <c r="W103" s="363"/>
      <c r="X103" s="363"/>
      <c r="Y103" s="363"/>
      <c r="Z103" s="363"/>
      <c r="AA103" s="363"/>
      <c r="AB103" s="363"/>
      <c r="AC103" s="363"/>
      <c r="AD103" s="363"/>
      <c r="AE103" s="238"/>
      <c r="AF103" s="238"/>
      <c r="AG103" s="271"/>
      <c r="AH103" s="272"/>
      <c r="AI103" s="273"/>
      <c r="AJ103" s="40"/>
      <c r="AK103" s="40"/>
      <c r="AL103" s="400"/>
      <c r="AM103" s="403"/>
      <c r="AN103" s="401"/>
      <c r="AO103" s="396"/>
      <c r="AP103" s="346"/>
      <c r="AQ103" s="346"/>
      <c r="AR103" s="1"/>
      <c r="AS103" s="1"/>
    </row>
    <row r="104" spans="1:45" ht="12.75">
      <c r="A104" s="291" t="s">
        <v>66</v>
      </c>
      <c r="B104" s="293">
        <v>4646000</v>
      </c>
      <c r="C104" s="294">
        <v>1.377</v>
      </c>
      <c r="D104" s="606">
        <v>-0.6</v>
      </c>
      <c r="E104" s="294">
        <v>71.8</v>
      </c>
      <c r="F104" s="294">
        <v>0.8</v>
      </c>
      <c r="G104" s="300"/>
      <c r="H104" s="300"/>
      <c r="I104" s="293">
        <v>2829.6666666666665</v>
      </c>
      <c r="J104" s="294"/>
      <c r="K104" s="297">
        <v>0.969</v>
      </c>
      <c r="L104" s="297">
        <v>0.852</v>
      </c>
      <c r="M104" s="297">
        <v>0.952</v>
      </c>
      <c r="N104" s="297">
        <v>0.795</v>
      </c>
      <c r="O104" s="297">
        <v>0.877</v>
      </c>
      <c r="P104" s="297">
        <v>1.023</v>
      </c>
      <c r="Q104" s="363"/>
      <c r="R104" s="363"/>
      <c r="S104" s="363"/>
      <c r="T104" s="363"/>
      <c r="U104" s="363"/>
      <c r="V104" s="363"/>
      <c r="W104" s="363"/>
      <c r="X104" s="363"/>
      <c r="Y104" s="363"/>
      <c r="Z104" s="363"/>
      <c r="AA104" s="363"/>
      <c r="AB104" s="363"/>
      <c r="AC104" s="363"/>
      <c r="AD104" s="363"/>
      <c r="AE104" s="238"/>
      <c r="AF104" s="238"/>
      <c r="AG104" s="271"/>
      <c r="AH104" s="273"/>
      <c r="AI104" s="273"/>
      <c r="AJ104" s="40"/>
      <c r="AK104" s="40"/>
      <c r="AL104" s="400"/>
      <c r="AM104" s="403"/>
      <c r="AN104" s="401"/>
      <c r="AO104" s="396"/>
      <c r="AP104" s="346"/>
      <c r="AQ104" s="346"/>
      <c r="AR104" s="1"/>
      <c r="AS104" s="1"/>
    </row>
    <row r="105" spans="1:45" ht="12.75">
      <c r="A105" s="291" t="s">
        <v>30</v>
      </c>
      <c r="B105" s="293">
        <v>82401000</v>
      </c>
      <c r="C105" s="294">
        <v>10.878888888888888</v>
      </c>
      <c r="D105" s="606">
        <v>1.5</v>
      </c>
      <c r="E105" s="294">
        <v>82.85</v>
      </c>
      <c r="F105" s="294">
        <v>1.765</v>
      </c>
      <c r="G105" s="295">
        <v>0.46211544319220227</v>
      </c>
      <c r="H105" s="295">
        <v>0.48522873913342474</v>
      </c>
      <c r="I105" s="293">
        <v>28175.333333333332</v>
      </c>
      <c r="J105" s="294"/>
      <c r="K105" s="299">
        <v>10.399</v>
      </c>
      <c r="L105" s="299">
        <v>10.671</v>
      </c>
      <c r="M105" s="299">
        <v>10.386</v>
      </c>
      <c r="N105" s="299">
        <v>10.582</v>
      </c>
      <c r="O105" s="299">
        <v>10.524</v>
      </c>
      <c r="P105" s="299">
        <v>10.28</v>
      </c>
      <c r="Q105" s="363"/>
      <c r="R105" s="363"/>
      <c r="S105" s="363"/>
      <c r="T105" s="363"/>
      <c r="U105" s="363"/>
      <c r="V105" s="363"/>
      <c r="W105" s="363"/>
      <c r="X105" s="363"/>
      <c r="Y105" s="363"/>
      <c r="Z105" s="363"/>
      <c r="AA105" s="363"/>
      <c r="AB105" s="363"/>
      <c r="AC105" s="363"/>
      <c r="AD105" s="363"/>
      <c r="AE105" s="238"/>
      <c r="AF105" s="238"/>
      <c r="AG105" s="271"/>
      <c r="AH105" s="272"/>
      <c r="AI105" s="273"/>
      <c r="AJ105" s="40"/>
      <c r="AK105" s="40"/>
      <c r="AL105" s="400"/>
      <c r="AM105" s="403"/>
      <c r="AN105" s="401"/>
      <c r="AO105" s="396"/>
      <c r="AP105" s="346"/>
      <c r="AQ105" s="346"/>
      <c r="AR105" s="1"/>
      <c r="AS105" s="1"/>
    </row>
    <row r="106" spans="1:45" ht="12.75">
      <c r="A106" s="291" t="s">
        <v>108</v>
      </c>
      <c r="B106" s="293">
        <v>22981000</v>
      </c>
      <c r="C106" s="294">
        <v>0.21190000000000003</v>
      </c>
      <c r="D106" s="606">
        <v>-12.75</v>
      </c>
      <c r="E106" s="294">
        <v>66.95</v>
      </c>
      <c r="F106" s="294">
        <v>1.08</v>
      </c>
      <c r="G106" s="300"/>
      <c r="H106" s="300"/>
      <c r="I106" s="293">
        <v>1058.6666666666667</v>
      </c>
      <c r="J106" s="294"/>
      <c r="K106" s="297">
        <v>0.269</v>
      </c>
      <c r="L106" s="297">
        <v>0.256</v>
      </c>
      <c r="M106" s="297">
        <v>0.264</v>
      </c>
      <c r="N106" s="297">
        <v>0.281</v>
      </c>
      <c r="O106" s="297">
        <v>0.301</v>
      </c>
      <c r="P106" s="297">
        <v>0.296</v>
      </c>
      <c r="Q106" s="363"/>
      <c r="R106" s="363"/>
      <c r="S106" s="363"/>
      <c r="T106" s="363"/>
      <c r="U106" s="363"/>
      <c r="V106" s="363"/>
      <c r="W106" s="363"/>
      <c r="X106" s="363"/>
      <c r="Y106" s="363"/>
      <c r="Z106" s="363"/>
      <c r="AA106" s="363"/>
      <c r="AB106" s="363"/>
      <c r="AC106" s="363"/>
      <c r="AD106" s="363"/>
      <c r="AE106" s="238"/>
      <c r="AF106" s="238"/>
      <c r="AG106" s="271"/>
      <c r="AH106" s="272"/>
      <c r="AI106" s="273"/>
      <c r="AJ106" s="40"/>
      <c r="AK106" s="40"/>
      <c r="AL106" s="400"/>
      <c r="AM106" s="403"/>
      <c r="AN106" s="401"/>
      <c r="AO106" s="396"/>
      <c r="AP106" s="346"/>
      <c r="AQ106" s="346"/>
      <c r="AR106" s="1"/>
      <c r="AS106" s="1"/>
    </row>
    <row r="107" spans="1:45" ht="12.75">
      <c r="A107" s="291" t="s">
        <v>76</v>
      </c>
      <c r="B107" s="293">
        <v>10706000</v>
      </c>
      <c r="C107" s="294">
        <v>8.3304</v>
      </c>
      <c r="D107" s="606">
        <v>5.25</v>
      </c>
      <c r="E107" s="294">
        <v>80.2</v>
      </c>
      <c r="F107" s="294">
        <v>2.05</v>
      </c>
      <c r="G107" s="300"/>
      <c r="H107" s="300"/>
      <c r="I107" s="293">
        <v>21683.333333333332</v>
      </c>
      <c r="J107" s="294"/>
      <c r="K107" s="299">
        <v>9.592</v>
      </c>
      <c r="L107" s="299">
        <v>9.745</v>
      </c>
      <c r="M107" s="299">
        <v>9.656</v>
      </c>
      <c r="N107" s="299">
        <v>9.993</v>
      </c>
      <c r="O107" s="299">
        <v>9.876</v>
      </c>
      <c r="P107" s="299">
        <v>9.873</v>
      </c>
      <c r="Q107" s="363"/>
      <c r="R107" s="363"/>
      <c r="S107" s="363"/>
      <c r="T107" s="363"/>
      <c r="U107" s="363"/>
      <c r="V107" s="363"/>
      <c r="W107" s="363"/>
      <c r="X107" s="363"/>
      <c r="Y107" s="363"/>
      <c r="Z107" s="363"/>
      <c r="AA107" s="363"/>
      <c r="AB107" s="363"/>
      <c r="AC107" s="363"/>
      <c r="AD107" s="363"/>
      <c r="AE107" s="238"/>
      <c r="AF107" s="238"/>
      <c r="AG107" s="271"/>
      <c r="AH107" s="272"/>
      <c r="AI107" s="273"/>
      <c r="AJ107" s="40"/>
      <c r="AK107" s="40"/>
      <c r="AL107" s="400"/>
      <c r="AM107" s="403"/>
      <c r="AN107" s="401"/>
      <c r="AO107" s="396"/>
      <c r="AP107" s="346"/>
      <c r="AQ107" s="346"/>
      <c r="AR107" s="1"/>
      <c r="AS107" s="1"/>
    </row>
    <row r="108" spans="1:45" ht="12.75">
      <c r="A108" s="291" t="s">
        <v>164</v>
      </c>
      <c r="B108" s="293">
        <v>58000</v>
      </c>
      <c r="C108" s="294">
        <v>9.404625</v>
      </c>
      <c r="D108" s="606">
        <v>0</v>
      </c>
      <c r="E108" s="305"/>
      <c r="F108" s="305"/>
      <c r="G108" s="295"/>
      <c r="H108" s="295"/>
      <c r="I108" s="308"/>
      <c r="J108" s="294"/>
      <c r="K108" s="297">
        <v>9.862</v>
      </c>
      <c r="L108" s="297">
        <v>10.1</v>
      </c>
      <c r="M108" s="297">
        <v>10.169</v>
      </c>
      <c r="N108" s="297">
        <v>10.192</v>
      </c>
      <c r="O108" s="297">
        <v>10.306</v>
      </c>
      <c r="P108" s="297">
        <v>10.425</v>
      </c>
      <c r="Q108" s="363"/>
      <c r="R108" s="363"/>
      <c r="S108" s="363"/>
      <c r="T108" s="363"/>
      <c r="U108" s="363"/>
      <c r="V108" s="363"/>
      <c r="W108" s="363"/>
      <c r="X108" s="363"/>
      <c r="Y108" s="363"/>
      <c r="Z108" s="363"/>
      <c r="AA108" s="363"/>
      <c r="AB108" s="363"/>
      <c r="AC108" s="363"/>
      <c r="AD108" s="363"/>
      <c r="AE108" s="238"/>
      <c r="AF108" s="238"/>
      <c r="AG108" s="271"/>
      <c r="AH108" s="272"/>
      <c r="AI108" s="273"/>
      <c r="AJ108" s="40"/>
      <c r="AK108" s="40"/>
      <c r="AL108" s="400"/>
      <c r="AM108" s="403"/>
      <c r="AN108" s="401"/>
      <c r="AO108" s="396"/>
      <c r="AP108" s="346"/>
      <c r="AQ108" s="346"/>
      <c r="AR108" s="1"/>
      <c r="AS108" s="1"/>
    </row>
    <row r="109" spans="1:45" ht="12.75">
      <c r="A109" s="291" t="s">
        <v>176</v>
      </c>
      <c r="B109" s="293">
        <v>106000</v>
      </c>
      <c r="C109" s="294">
        <v>1.6296999999999997</v>
      </c>
      <c r="D109" s="606">
        <v>0</v>
      </c>
      <c r="E109" s="305"/>
      <c r="F109" s="305"/>
      <c r="G109" s="295"/>
      <c r="H109" s="295"/>
      <c r="I109" s="293">
        <v>8658.166666666666</v>
      </c>
      <c r="J109" s="294"/>
      <c r="K109" s="299">
        <v>1.162</v>
      </c>
      <c r="L109" s="299">
        <v>1.966</v>
      </c>
      <c r="M109" s="299">
        <v>2.271</v>
      </c>
      <c r="N109" s="299">
        <v>2.305</v>
      </c>
      <c r="O109" s="299">
        <v>2.328</v>
      </c>
      <c r="P109" s="299">
        <v>2.369</v>
      </c>
      <c r="Q109" s="363"/>
      <c r="R109" s="363"/>
      <c r="S109" s="363"/>
      <c r="T109" s="363"/>
      <c r="U109" s="363"/>
      <c r="V109" s="363"/>
      <c r="W109" s="363"/>
      <c r="X109" s="363"/>
      <c r="Y109" s="363"/>
      <c r="Z109" s="363"/>
      <c r="AA109" s="363"/>
      <c r="AB109" s="363"/>
      <c r="AC109" s="363"/>
      <c r="AD109" s="363"/>
      <c r="AE109" s="238"/>
      <c r="AF109" s="238"/>
      <c r="AG109" s="271"/>
      <c r="AH109" s="272"/>
      <c r="AI109" s="273"/>
      <c r="AJ109" s="40"/>
      <c r="AK109" s="40"/>
      <c r="AL109" s="400"/>
      <c r="AM109" s="403"/>
      <c r="AN109" s="401"/>
      <c r="AO109" s="396"/>
      <c r="AP109" s="346"/>
      <c r="AQ109" s="346"/>
      <c r="AR109" s="1"/>
      <c r="AS109" s="1"/>
    </row>
    <row r="110" spans="1:45" ht="12.75">
      <c r="A110" s="291" t="s">
        <v>168</v>
      </c>
      <c r="B110" s="293">
        <v>445000</v>
      </c>
      <c r="C110" s="294">
        <v>3.8761</v>
      </c>
      <c r="D110" s="606">
        <v>-2.85</v>
      </c>
      <c r="E110" s="305"/>
      <c r="F110" s="305"/>
      <c r="G110" s="295"/>
      <c r="H110" s="295"/>
      <c r="I110" s="308"/>
      <c r="J110" s="294"/>
      <c r="K110" s="299">
        <v>4.202</v>
      </c>
      <c r="L110" s="299">
        <v>4.254</v>
      </c>
      <c r="M110" s="299">
        <v>4.284</v>
      </c>
      <c r="N110" s="299">
        <v>4.4</v>
      </c>
      <c r="O110" s="299">
        <v>4.488</v>
      </c>
      <c r="P110" s="299">
        <v>4.675</v>
      </c>
      <c r="Q110" s="363"/>
      <c r="R110" s="363"/>
      <c r="S110" s="363"/>
      <c r="T110" s="363"/>
      <c r="U110" s="363"/>
      <c r="V110" s="363"/>
      <c r="W110" s="363"/>
      <c r="X110" s="363"/>
      <c r="Y110" s="363"/>
      <c r="Z110" s="363"/>
      <c r="AA110" s="363"/>
      <c r="AB110" s="363"/>
      <c r="AC110" s="363"/>
      <c r="AD110" s="363"/>
      <c r="AE110" s="238"/>
      <c r="AF110" s="238"/>
      <c r="AG110" s="271"/>
      <c r="AH110" s="272"/>
      <c r="AI110" s="273"/>
      <c r="AJ110" s="40"/>
      <c r="AK110" s="40"/>
      <c r="AL110" s="400"/>
      <c r="AM110" s="403"/>
      <c r="AN110" s="401"/>
      <c r="AO110" s="396"/>
      <c r="AP110" s="346"/>
      <c r="AQ110" s="346"/>
      <c r="AR110" s="1"/>
      <c r="AS110" s="1"/>
    </row>
    <row r="111" spans="1:45" ht="12.75">
      <c r="A111" s="291" t="s">
        <v>104</v>
      </c>
      <c r="B111" s="293">
        <v>12728000</v>
      </c>
      <c r="C111" s="294">
        <v>0.5808</v>
      </c>
      <c r="D111" s="606">
        <v>-11.25</v>
      </c>
      <c r="E111" s="294">
        <v>72.8</v>
      </c>
      <c r="F111" s="294">
        <v>0.985</v>
      </c>
      <c r="G111" s="300"/>
      <c r="H111" s="300"/>
      <c r="I111" s="293">
        <v>3753.8333333333335</v>
      </c>
      <c r="J111" s="294"/>
      <c r="K111" s="297">
        <v>0.817</v>
      </c>
      <c r="L111" s="297">
        <v>0.887</v>
      </c>
      <c r="M111" s="297">
        <v>0.892</v>
      </c>
      <c r="N111" s="297">
        <v>0.874</v>
      </c>
      <c r="O111" s="297">
        <v>0.909</v>
      </c>
      <c r="P111" s="297">
        <v>0.947</v>
      </c>
      <c r="Q111" s="363"/>
      <c r="R111" s="363"/>
      <c r="S111" s="363"/>
      <c r="T111" s="363"/>
      <c r="U111" s="363"/>
      <c r="V111" s="363"/>
      <c r="W111" s="363"/>
      <c r="X111" s="363"/>
      <c r="Y111" s="363"/>
      <c r="Z111" s="363"/>
      <c r="AA111" s="363"/>
      <c r="AB111" s="363"/>
      <c r="AC111" s="363"/>
      <c r="AD111" s="363"/>
      <c r="AE111" s="238"/>
      <c r="AF111" s="238"/>
      <c r="AG111" s="271"/>
      <c r="AH111" s="272"/>
      <c r="AI111" s="273"/>
      <c r="AJ111" s="40"/>
      <c r="AK111" s="40"/>
      <c r="AL111" s="400"/>
      <c r="AM111" s="403"/>
      <c r="AN111" s="401"/>
      <c r="AO111" s="396"/>
      <c r="AP111" s="346"/>
      <c r="AQ111" s="346"/>
      <c r="AR111" s="1"/>
      <c r="AS111" s="1"/>
    </row>
    <row r="112" spans="1:45" ht="12.75">
      <c r="A112" s="291" t="s">
        <v>130</v>
      </c>
      <c r="B112" s="293">
        <v>9569000</v>
      </c>
      <c r="C112" s="294">
        <v>0.17399999999999996</v>
      </c>
      <c r="D112" s="606">
        <v>-3.3</v>
      </c>
      <c r="E112" s="294">
        <v>50.25</v>
      </c>
      <c r="F112" s="294">
        <v>1.07</v>
      </c>
      <c r="G112" s="300"/>
      <c r="H112" s="300"/>
      <c r="I112" s="293">
        <v>873.6666666666666</v>
      </c>
      <c r="J112" s="294"/>
      <c r="K112" s="297">
        <v>0.156</v>
      </c>
      <c r="L112" s="297">
        <v>0.156</v>
      </c>
      <c r="M112" s="297">
        <v>0.155</v>
      </c>
      <c r="N112" s="297">
        <v>0.152</v>
      </c>
      <c r="O112" s="297">
        <v>0.151</v>
      </c>
      <c r="P112" s="297">
        <v>0.151</v>
      </c>
      <c r="Q112" s="363"/>
      <c r="R112" s="363"/>
      <c r="S112" s="363"/>
      <c r="T112" s="363"/>
      <c r="U112" s="363"/>
      <c r="V112" s="363"/>
      <c r="W112" s="363"/>
      <c r="X112" s="363"/>
      <c r="Y112" s="363"/>
      <c r="Z112" s="363"/>
      <c r="AA112" s="363"/>
      <c r="AB112" s="363"/>
      <c r="AC112" s="363"/>
      <c r="AD112" s="363"/>
      <c r="AE112" s="238"/>
      <c r="AF112" s="238"/>
      <c r="AG112" s="271"/>
      <c r="AH112" s="272"/>
      <c r="AI112" s="273"/>
      <c r="AJ112" s="40"/>
      <c r="AK112" s="40"/>
      <c r="AL112" s="400"/>
      <c r="AM112" s="403"/>
      <c r="AN112" s="401"/>
      <c r="AO112" s="396"/>
      <c r="AP112" s="346"/>
      <c r="AQ112" s="346"/>
      <c r="AR112" s="1"/>
      <c r="AS112" s="1"/>
    </row>
    <row r="113" spans="1:45" ht="12.75">
      <c r="A113" s="291" t="s">
        <v>126</v>
      </c>
      <c r="B113" s="293">
        <v>1473000</v>
      </c>
      <c r="C113" s="294">
        <v>0.2758</v>
      </c>
      <c r="D113" s="606">
        <v>-7.65</v>
      </c>
      <c r="E113" s="294">
        <v>47.9</v>
      </c>
      <c r="F113" s="294">
        <v>0.77</v>
      </c>
      <c r="G113" s="300"/>
      <c r="H113" s="300"/>
      <c r="I113" s="293">
        <v>984.8333333333334</v>
      </c>
      <c r="J113" s="294"/>
      <c r="K113" s="297">
        <v>0.278</v>
      </c>
      <c r="L113" s="297">
        <v>0.275</v>
      </c>
      <c r="M113" s="297">
        <v>0.28</v>
      </c>
      <c r="N113" s="297">
        <v>0.281</v>
      </c>
      <c r="O113" s="297">
        <v>0.277</v>
      </c>
      <c r="P113" s="297">
        <v>0.28</v>
      </c>
      <c r="Q113" s="363"/>
      <c r="R113" s="363"/>
      <c r="S113" s="363"/>
      <c r="T113" s="363"/>
      <c r="U113" s="363"/>
      <c r="V113" s="363"/>
      <c r="W113" s="363"/>
      <c r="X113" s="363"/>
      <c r="Y113" s="363"/>
      <c r="Z113" s="363"/>
      <c r="AA113" s="363"/>
      <c r="AB113" s="363"/>
      <c r="AC113" s="363"/>
      <c r="AD113" s="363"/>
      <c r="AE113" s="238"/>
      <c r="AF113" s="238"/>
      <c r="AG113" s="271"/>
      <c r="AH113" s="273"/>
      <c r="AI113" s="273"/>
      <c r="AJ113" s="40"/>
      <c r="AK113" s="40"/>
      <c r="AL113" s="400"/>
      <c r="AM113" s="403"/>
      <c r="AN113" s="401"/>
      <c r="AO113" s="396"/>
      <c r="AP113" s="346"/>
      <c r="AQ113" s="346"/>
      <c r="AR113" s="1"/>
      <c r="AS113" s="1"/>
    </row>
    <row r="114" spans="1:45" ht="12.75">
      <c r="A114" s="291" t="s">
        <v>85</v>
      </c>
      <c r="B114" s="293">
        <v>764000</v>
      </c>
      <c r="C114" s="294">
        <v>1.3956</v>
      </c>
      <c r="D114" s="606">
        <v>0</v>
      </c>
      <c r="E114" s="294">
        <v>61.503275490204274</v>
      </c>
      <c r="F114" s="305"/>
      <c r="G114" s="300"/>
      <c r="H114" s="300"/>
      <c r="I114" s="293">
        <v>2381.8333333333335</v>
      </c>
      <c r="J114" s="294"/>
      <c r="K114" s="297">
        <v>2.145</v>
      </c>
      <c r="L114" s="297">
        <v>2.202</v>
      </c>
      <c r="M114" s="297">
        <v>2.245</v>
      </c>
      <c r="N114" s="297">
        <v>2.192</v>
      </c>
      <c r="O114" s="297">
        <v>1.971</v>
      </c>
      <c r="P114" s="297">
        <v>2.178</v>
      </c>
      <c r="Q114" s="363"/>
      <c r="R114" s="363"/>
      <c r="S114" s="363"/>
      <c r="T114" s="363"/>
      <c r="U114" s="363"/>
      <c r="V114" s="363"/>
      <c r="W114" s="363"/>
      <c r="X114" s="363"/>
      <c r="Y114" s="363"/>
      <c r="Z114" s="363"/>
      <c r="AA114" s="363"/>
      <c r="AB114" s="363"/>
      <c r="AC114" s="363"/>
      <c r="AD114" s="363"/>
      <c r="AE114" s="238"/>
      <c r="AF114" s="238"/>
      <c r="AG114" s="271"/>
      <c r="AH114" s="272"/>
      <c r="AI114" s="273"/>
      <c r="AJ114" s="40"/>
      <c r="AK114" s="40"/>
      <c r="AL114" s="400"/>
      <c r="AM114" s="403"/>
      <c r="AN114" s="401"/>
      <c r="AO114" s="396"/>
      <c r="AP114" s="346"/>
      <c r="AQ114" s="346"/>
      <c r="AR114" s="1"/>
      <c r="AS114" s="1"/>
    </row>
    <row r="115" spans="1:45" ht="12.75">
      <c r="A115" s="291" t="s">
        <v>148</v>
      </c>
      <c r="B115" s="293">
        <v>9500000</v>
      </c>
      <c r="C115" s="294">
        <v>0.1303</v>
      </c>
      <c r="D115" s="606">
        <v>-0.6</v>
      </c>
      <c r="E115" s="294">
        <v>54.8</v>
      </c>
      <c r="F115" s="294">
        <v>0.48</v>
      </c>
      <c r="G115" s="300"/>
      <c r="H115" s="300"/>
      <c r="I115" s="293">
        <v>1005.1666666666666</v>
      </c>
      <c r="J115" s="294"/>
      <c r="K115" s="297">
        <v>0.18</v>
      </c>
      <c r="L115" s="297">
        <v>0.193</v>
      </c>
      <c r="M115" s="297">
        <v>0.196</v>
      </c>
      <c r="N115" s="297">
        <v>0.192</v>
      </c>
      <c r="O115" s="297">
        <v>0.193</v>
      </c>
      <c r="P115" s="297">
        <v>0.191</v>
      </c>
      <c r="Q115" s="363"/>
      <c r="R115" s="363"/>
      <c r="S115" s="363"/>
      <c r="T115" s="363"/>
      <c r="U115" s="363"/>
      <c r="V115" s="363"/>
      <c r="W115" s="363"/>
      <c r="X115" s="363"/>
      <c r="Y115" s="363"/>
      <c r="Z115" s="363"/>
      <c r="AA115" s="363"/>
      <c r="AB115" s="363"/>
      <c r="AC115" s="363"/>
      <c r="AD115" s="363"/>
      <c r="AE115" s="238"/>
      <c r="AF115" s="238"/>
      <c r="AG115" s="271"/>
      <c r="AH115" s="272"/>
      <c r="AI115" s="273"/>
      <c r="AJ115" s="40"/>
      <c r="AK115" s="40"/>
      <c r="AL115" s="400"/>
      <c r="AM115" s="403"/>
      <c r="AN115" s="401"/>
      <c r="AO115" s="396"/>
      <c r="AP115" s="346"/>
      <c r="AQ115" s="346"/>
      <c r="AR115" s="1"/>
      <c r="AS115" s="1"/>
    </row>
    <row r="116" spans="1:45" ht="12.75">
      <c r="A116" s="291" t="s">
        <v>114</v>
      </c>
      <c r="B116" s="293">
        <v>7516000</v>
      </c>
      <c r="C116" s="294">
        <v>0.6189</v>
      </c>
      <c r="D116" s="606">
        <v>-31.35</v>
      </c>
      <c r="E116" s="294">
        <v>73.1</v>
      </c>
      <c r="F116" s="294">
        <v>1.08</v>
      </c>
      <c r="G116" s="300"/>
      <c r="H116" s="300"/>
      <c r="I116" s="293">
        <v>2848.8333333333335</v>
      </c>
      <c r="J116" s="294"/>
      <c r="K116" s="297">
        <v>0.721</v>
      </c>
      <c r="L116" s="297">
        <v>0.814</v>
      </c>
      <c r="M116" s="297">
        <v>0.891</v>
      </c>
      <c r="N116" s="297">
        <v>0.874</v>
      </c>
      <c r="O116" s="297">
        <v>0.997</v>
      </c>
      <c r="P116" s="297">
        <v>1.011</v>
      </c>
      <c r="Q116" s="363"/>
      <c r="R116" s="363"/>
      <c r="S116" s="363"/>
      <c r="T116" s="363"/>
      <c r="U116" s="363"/>
      <c r="V116" s="363"/>
      <c r="W116" s="363"/>
      <c r="X116" s="363"/>
      <c r="Y116" s="363"/>
      <c r="Z116" s="363"/>
      <c r="AA116" s="363"/>
      <c r="AB116" s="363"/>
      <c r="AC116" s="363"/>
      <c r="AD116" s="363"/>
      <c r="AE116" s="238"/>
      <c r="AF116" s="238"/>
      <c r="AG116" s="271"/>
      <c r="AH116" s="272"/>
      <c r="AI116" s="273"/>
      <c r="AJ116" s="40"/>
      <c r="AK116" s="40"/>
      <c r="AL116" s="400"/>
      <c r="AM116" s="403"/>
      <c r="AN116" s="401"/>
      <c r="AO116" s="396"/>
      <c r="AP116" s="346"/>
      <c r="AQ116" s="346"/>
      <c r="AR116" s="1"/>
      <c r="AS116" s="1"/>
    </row>
    <row r="117" spans="1:45" ht="12.75">
      <c r="A117" s="291" t="s">
        <v>43</v>
      </c>
      <c r="B117" s="293">
        <v>10034000</v>
      </c>
      <c r="C117" s="294">
        <v>5.880800000000001</v>
      </c>
      <c r="D117" s="606">
        <v>3.15</v>
      </c>
      <c r="E117" s="294">
        <v>80.6</v>
      </c>
      <c r="F117" s="294">
        <v>1.74</v>
      </c>
      <c r="G117" s="295">
        <v>0.32580763582966227</v>
      </c>
      <c r="H117" s="295">
        <v>0.3259750182712112</v>
      </c>
      <c r="I117" s="293">
        <v>14742.333333333334</v>
      </c>
      <c r="J117" s="294"/>
      <c r="K117" s="299">
        <v>5.455</v>
      </c>
      <c r="L117" s="299">
        <v>5.664</v>
      </c>
      <c r="M117" s="299">
        <v>5.681</v>
      </c>
      <c r="N117" s="299">
        <v>5.906</v>
      </c>
      <c r="O117" s="299">
        <v>5.763</v>
      </c>
      <c r="P117" s="299">
        <v>5.916</v>
      </c>
      <c r="Q117" s="363"/>
      <c r="R117" s="363"/>
      <c r="S117" s="363"/>
      <c r="T117" s="363"/>
      <c r="U117" s="363"/>
      <c r="V117" s="363"/>
      <c r="W117" s="363"/>
      <c r="X117" s="363"/>
      <c r="Y117" s="363"/>
      <c r="Z117" s="363"/>
      <c r="AA117" s="363"/>
      <c r="AB117" s="363"/>
      <c r="AC117" s="363"/>
      <c r="AD117" s="363"/>
      <c r="AE117" s="238"/>
      <c r="AF117" s="238"/>
      <c r="AG117" s="271"/>
      <c r="AH117" s="272"/>
      <c r="AI117" s="273"/>
      <c r="AJ117" s="40"/>
      <c r="AK117" s="40"/>
      <c r="AL117" s="400"/>
      <c r="AM117" s="403"/>
      <c r="AN117" s="401"/>
      <c r="AO117" s="396"/>
      <c r="AP117" s="346"/>
      <c r="AQ117" s="346"/>
      <c r="AR117" s="1"/>
      <c r="AS117" s="1"/>
    </row>
    <row r="118" spans="1:45" ht="12.75">
      <c r="A118" s="291" t="s">
        <v>16</v>
      </c>
      <c r="B118" s="293">
        <v>302000</v>
      </c>
      <c r="C118" s="294">
        <v>9.7633</v>
      </c>
      <c r="D118" s="606">
        <v>0.15</v>
      </c>
      <c r="E118" s="294">
        <v>84.85</v>
      </c>
      <c r="F118" s="305"/>
      <c r="G118" s="300"/>
      <c r="H118" s="300"/>
      <c r="I118" s="293">
        <v>31634.833333333332</v>
      </c>
      <c r="J118" s="294"/>
      <c r="K118" s="299">
        <v>11.296</v>
      </c>
      <c r="L118" s="299">
        <v>10.666</v>
      </c>
      <c r="M118" s="299">
        <v>11.002</v>
      </c>
      <c r="N118" s="299">
        <v>10.953</v>
      </c>
      <c r="O118" s="299">
        <v>11.285</v>
      </c>
      <c r="P118" s="299">
        <v>11.179</v>
      </c>
      <c r="Q118" s="363"/>
      <c r="R118" s="363"/>
      <c r="S118" s="363"/>
      <c r="T118" s="363"/>
      <c r="U118" s="363"/>
      <c r="V118" s="363"/>
      <c r="W118" s="363"/>
      <c r="X118" s="363"/>
      <c r="Y118" s="363"/>
      <c r="Z118" s="363"/>
      <c r="AA118" s="363"/>
      <c r="AB118" s="363"/>
      <c r="AC118" s="363"/>
      <c r="AD118" s="363"/>
      <c r="AE118" s="238"/>
      <c r="AF118" s="238"/>
      <c r="AG118" s="271"/>
      <c r="AH118" s="272"/>
      <c r="AI118" s="273"/>
      <c r="AJ118" s="40"/>
      <c r="AK118" s="40"/>
      <c r="AL118" s="400"/>
      <c r="AM118" s="403"/>
      <c r="AN118" s="401"/>
      <c r="AO118" s="396"/>
      <c r="AP118" s="346"/>
      <c r="AQ118" s="346"/>
      <c r="AR118" s="1"/>
      <c r="AS118" s="1"/>
    </row>
    <row r="119" spans="1:45" ht="12.75">
      <c r="A119" s="291" t="s">
        <v>118</v>
      </c>
      <c r="B119" s="293">
        <v>1124135000</v>
      </c>
      <c r="C119" s="294">
        <v>0.8410000000000002</v>
      </c>
      <c r="D119" s="606">
        <v>1.95</v>
      </c>
      <c r="E119" s="294">
        <v>54</v>
      </c>
      <c r="F119" s="294">
        <v>0.555</v>
      </c>
      <c r="G119" s="295">
        <v>0.001891323530822279</v>
      </c>
      <c r="H119" s="295">
        <v>0.003680607756185867</v>
      </c>
      <c r="I119" s="293">
        <v>1795.6666666666667</v>
      </c>
      <c r="J119" s="294"/>
      <c r="K119" s="297">
        <v>0.997</v>
      </c>
      <c r="L119" s="297">
        <v>1.002</v>
      </c>
      <c r="M119" s="297">
        <v>0.977</v>
      </c>
      <c r="N119" s="297">
        <v>0.976</v>
      </c>
      <c r="O119" s="297">
        <v>1.048</v>
      </c>
      <c r="P119" s="297">
        <v>1.085</v>
      </c>
      <c r="Q119" s="363"/>
      <c r="R119" s="363"/>
      <c r="S119" s="363"/>
      <c r="T119" s="363"/>
      <c r="U119" s="363"/>
      <c r="V119" s="363"/>
      <c r="W119" s="363"/>
      <c r="X119" s="363"/>
      <c r="Y119" s="363"/>
      <c r="Z119" s="363"/>
      <c r="AA119" s="363"/>
      <c r="AB119" s="363"/>
      <c r="AC119" s="363"/>
      <c r="AD119" s="363"/>
      <c r="AE119" s="238"/>
      <c r="AF119" s="238"/>
      <c r="AG119" s="271"/>
      <c r="AH119" s="272"/>
      <c r="AI119" s="273"/>
      <c r="AJ119" s="40"/>
      <c r="AK119" s="40"/>
      <c r="AL119" s="400"/>
      <c r="AM119" s="403"/>
      <c r="AN119" s="401"/>
      <c r="AO119" s="396"/>
      <c r="AP119" s="346"/>
      <c r="AQ119" s="346"/>
      <c r="AR119" s="1"/>
      <c r="AS119" s="1"/>
    </row>
    <row r="120" spans="1:45" ht="12.75">
      <c r="A120" s="291" t="s">
        <v>128</v>
      </c>
      <c r="B120" s="293">
        <v>234694000</v>
      </c>
      <c r="C120" s="294">
        <v>1.0709</v>
      </c>
      <c r="D120" s="606">
        <v>-17.1</v>
      </c>
      <c r="E120" s="294">
        <v>63.45</v>
      </c>
      <c r="F120" s="294">
        <v>0.825</v>
      </c>
      <c r="G120" s="300"/>
      <c r="H120" s="300"/>
      <c r="I120" s="293">
        <v>2663.1666666666665</v>
      </c>
      <c r="J120" s="294"/>
      <c r="K120" s="297">
        <v>1.24</v>
      </c>
      <c r="L120" s="297">
        <v>1.25</v>
      </c>
      <c r="M120" s="297">
        <v>1.306</v>
      </c>
      <c r="N120" s="297">
        <v>1.319</v>
      </c>
      <c r="O120" s="297">
        <v>1.362</v>
      </c>
      <c r="P120" s="297">
        <v>1.444</v>
      </c>
      <c r="Q120" s="363"/>
      <c r="R120" s="363"/>
      <c r="S120" s="363"/>
      <c r="T120" s="363"/>
      <c r="U120" s="363"/>
      <c r="V120" s="363"/>
      <c r="W120" s="363"/>
      <c r="X120" s="363"/>
      <c r="Y120" s="363"/>
      <c r="Z120" s="363"/>
      <c r="AA120" s="363"/>
      <c r="AB120" s="363"/>
      <c r="AC120" s="363"/>
      <c r="AD120" s="363"/>
      <c r="AE120" s="238"/>
      <c r="AF120" s="238"/>
      <c r="AG120" s="271"/>
      <c r="AH120" s="273"/>
      <c r="AI120" s="273"/>
      <c r="AJ120" s="40"/>
      <c r="AK120" s="40"/>
      <c r="AL120" s="400"/>
      <c r="AM120" s="403"/>
      <c r="AN120" s="401"/>
      <c r="AO120" s="396"/>
      <c r="AP120" s="346"/>
      <c r="AQ120" s="346"/>
      <c r="AR120" s="1"/>
      <c r="AS120" s="1"/>
    </row>
    <row r="121" spans="1:45" ht="12.75">
      <c r="A121" s="291" t="s">
        <v>4</v>
      </c>
      <c r="B121" s="293">
        <v>74093000</v>
      </c>
      <c r="C121" s="294">
        <v>4.032000000000001</v>
      </c>
      <c r="D121" s="606">
        <v>0</v>
      </c>
      <c r="E121" s="294">
        <v>73.45</v>
      </c>
      <c r="F121" s="294">
        <v>0.96</v>
      </c>
      <c r="G121" s="300"/>
      <c r="H121" s="300"/>
      <c r="I121" s="298">
        <v>7841.166666666667</v>
      </c>
      <c r="J121" s="294"/>
      <c r="K121" s="297">
        <v>4.672</v>
      </c>
      <c r="L121" s="297">
        <v>4.806</v>
      </c>
      <c r="M121" s="297">
        <v>5.193</v>
      </c>
      <c r="N121" s="297">
        <v>5.463</v>
      </c>
      <c r="O121" s="297">
        <v>5.691</v>
      </c>
      <c r="P121" s="297">
        <v>6.215</v>
      </c>
      <c r="Q121" s="363"/>
      <c r="R121" s="363"/>
      <c r="S121" s="363"/>
      <c r="T121" s="363"/>
      <c r="U121" s="363"/>
      <c r="V121" s="363"/>
      <c r="W121" s="363"/>
      <c r="X121" s="363"/>
      <c r="Y121" s="363"/>
      <c r="Z121" s="363"/>
      <c r="AA121" s="363"/>
      <c r="AB121" s="363"/>
      <c r="AC121" s="363"/>
      <c r="AD121" s="363"/>
      <c r="AE121" s="238"/>
      <c r="AF121" s="238"/>
      <c r="AG121" s="271"/>
      <c r="AH121" s="272"/>
      <c r="AI121" s="273"/>
      <c r="AJ121" s="40"/>
      <c r="AK121" s="40"/>
      <c r="AL121" s="400"/>
      <c r="AM121" s="403"/>
      <c r="AN121" s="401"/>
      <c r="AO121" s="396"/>
      <c r="AP121" s="346"/>
      <c r="AQ121" s="346"/>
      <c r="AR121" s="1"/>
      <c r="AS121" s="1"/>
    </row>
    <row r="122" spans="1:45" ht="12.75">
      <c r="A122" s="290" t="s">
        <v>143</v>
      </c>
      <c r="B122" s="293">
        <v>27500000</v>
      </c>
      <c r="C122" s="294">
        <v>3.5046</v>
      </c>
      <c r="D122" s="606">
        <v>0.15</v>
      </c>
      <c r="E122" s="294">
        <v>51.15781711299399</v>
      </c>
      <c r="F122" s="294">
        <v>0.305</v>
      </c>
      <c r="G122" s="300"/>
      <c r="H122" s="300"/>
      <c r="I122" s="293">
        <v>3232</v>
      </c>
      <c r="J122" s="294"/>
      <c r="K122" s="297">
        <v>3.244</v>
      </c>
      <c r="L122" s="297">
        <v>3.329</v>
      </c>
      <c r="M122" s="297">
        <v>3.316</v>
      </c>
      <c r="N122" s="297">
        <v>2.9</v>
      </c>
      <c r="O122" s="297">
        <v>3.09</v>
      </c>
      <c r="P122" s="297">
        <v>3.655</v>
      </c>
      <c r="Q122" s="363"/>
      <c r="R122" s="363"/>
      <c r="S122" s="363"/>
      <c r="T122" s="363"/>
      <c r="U122" s="363"/>
      <c r="V122" s="363"/>
      <c r="W122" s="363"/>
      <c r="X122" s="363"/>
      <c r="Y122" s="363"/>
      <c r="Z122" s="363"/>
      <c r="AA122" s="363"/>
      <c r="AB122" s="363"/>
      <c r="AC122" s="363"/>
      <c r="AD122" s="363"/>
      <c r="AE122" s="238"/>
      <c r="AF122" s="238"/>
      <c r="AG122" s="271"/>
      <c r="AH122" s="272"/>
      <c r="AI122" s="273"/>
      <c r="AJ122" s="40"/>
      <c r="AK122" s="40"/>
      <c r="AL122" s="400"/>
      <c r="AM122" s="403"/>
      <c r="AN122" s="401"/>
      <c r="AO122" s="396"/>
      <c r="AP122" s="346"/>
      <c r="AQ122" s="346"/>
      <c r="AR122" s="1"/>
      <c r="AS122" s="1"/>
    </row>
    <row r="123" spans="1:45" ht="12.75">
      <c r="A123" s="291" t="s">
        <v>53</v>
      </c>
      <c r="B123" s="293">
        <v>4420000</v>
      </c>
      <c r="C123" s="294">
        <v>8.5278</v>
      </c>
      <c r="D123" s="606">
        <v>5.1</v>
      </c>
      <c r="E123" s="294">
        <v>83</v>
      </c>
      <c r="F123" s="294">
        <v>2.075</v>
      </c>
      <c r="G123" s="300"/>
      <c r="H123" s="300"/>
      <c r="I123" s="293">
        <v>33898.5</v>
      </c>
      <c r="J123" s="294"/>
      <c r="K123" s="299">
        <v>10.644</v>
      </c>
      <c r="L123" s="299">
        <v>11.182</v>
      </c>
      <c r="M123" s="299">
        <v>10.773</v>
      </c>
      <c r="N123" s="299">
        <v>10.306</v>
      </c>
      <c r="O123" s="299">
        <v>10.598</v>
      </c>
      <c r="P123" s="299">
        <v>10.563</v>
      </c>
      <c r="Q123" s="363"/>
      <c r="R123" s="363"/>
      <c r="S123" s="363"/>
      <c r="T123" s="363"/>
      <c r="U123" s="363"/>
      <c r="V123" s="363"/>
      <c r="W123" s="363"/>
      <c r="X123" s="363"/>
      <c r="Y123" s="363"/>
      <c r="Z123" s="363"/>
      <c r="AA123" s="363"/>
      <c r="AB123" s="363"/>
      <c r="AC123" s="363"/>
      <c r="AD123" s="363"/>
      <c r="AE123" s="238"/>
      <c r="AF123" s="238"/>
      <c r="AG123" s="271"/>
      <c r="AH123" s="272"/>
      <c r="AI123" s="273"/>
      <c r="AJ123" s="40"/>
      <c r="AK123" s="40"/>
      <c r="AL123" s="400"/>
      <c r="AM123" s="403"/>
      <c r="AN123" s="401"/>
      <c r="AO123" s="396"/>
      <c r="AP123" s="346"/>
      <c r="AQ123" s="346"/>
      <c r="AR123" s="1"/>
      <c r="AS123" s="1"/>
    </row>
    <row r="124" spans="1:45" ht="12.75">
      <c r="A124" s="291" t="s">
        <v>5</v>
      </c>
      <c r="B124" s="293">
        <v>6990000</v>
      </c>
      <c r="C124" s="294">
        <v>9.003799999999998</v>
      </c>
      <c r="D124" s="606">
        <v>1.65</v>
      </c>
      <c r="E124" s="294">
        <v>76.65</v>
      </c>
      <c r="F124" s="294">
        <v>1.56</v>
      </c>
      <c r="G124" s="300"/>
      <c r="H124" s="300"/>
      <c r="I124" s="293">
        <v>23305.166666666668</v>
      </c>
      <c r="J124" s="294"/>
      <c r="K124" s="297">
        <v>9.866</v>
      </c>
      <c r="L124" s="297">
        <v>10.738</v>
      </c>
      <c r="M124" s="297">
        <v>10.295</v>
      </c>
      <c r="N124" s="297">
        <v>9.957</v>
      </c>
      <c r="O124" s="297">
        <v>9.995</v>
      </c>
      <c r="P124" s="297">
        <v>10.232</v>
      </c>
      <c r="Q124" s="363"/>
      <c r="R124" s="363"/>
      <c r="S124" s="363"/>
      <c r="T124" s="363"/>
      <c r="U124" s="363"/>
      <c r="V124" s="363"/>
      <c r="W124" s="363"/>
      <c r="X124" s="363"/>
      <c r="Y124" s="363"/>
      <c r="Z124" s="363"/>
      <c r="AA124" s="363"/>
      <c r="AB124" s="363"/>
      <c r="AC124" s="363"/>
      <c r="AD124" s="363"/>
      <c r="AE124" s="238"/>
      <c r="AF124" s="238"/>
      <c r="AG124" s="271"/>
      <c r="AH124" s="272"/>
      <c r="AI124" s="273"/>
      <c r="AJ124" s="40"/>
      <c r="AK124" s="40"/>
      <c r="AL124" s="400"/>
      <c r="AM124" s="403"/>
      <c r="AN124" s="401"/>
      <c r="AO124" s="396"/>
      <c r="AP124" s="346"/>
      <c r="AQ124" s="346"/>
      <c r="AR124" s="1"/>
      <c r="AS124" s="1"/>
    </row>
    <row r="125" spans="1:45" ht="12.75">
      <c r="A125" s="291" t="s">
        <v>31</v>
      </c>
      <c r="B125" s="293">
        <v>58178000</v>
      </c>
      <c r="C125" s="294">
        <v>7.381899999999999</v>
      </c>
      <c r="D125" s="606">
        <v>6</v>
      </c>
      <c r="E125" s="294">
        <v>82</v>
      </c>
      <c r="F125" s="294">
        <v>1.855</v>
      </c>
      <c r="G125" s="300"/>
      <c r="H125" s="300"/>
      <c r="I125" s="293">
        <v>27175.833333333332</v>
      </c>
      <c r="J125" s="294"/>
      <c r="K125" s="299">
        <v>7.753</v>
      </c>
      <c r="L125" s="299">
        <v>7.686</v>
      </c>
      <c r="M125" s="299">
        <v>7.796</v>
      </c>
      <c r="N125" s="299">
        <v>8.138</v>
      </c>
      <c r="O125" s="299">
        <v>8.073</v>
      </c>
      <c r="P125" s="299">
        <v>8.117</v>
      </c>
      <c r="Q125" s="363"/>
      <c r="R125" s="363"/>
      <c r="S125" s="363"/>
      <c r="T125" s="363"/>
      <c r="U125" s="363"/>
      <c r="V125" s="363"/>
      <c r="W125" s="363"/>
      <c r="X125" s="363"/>
      <c r="Y125" s="363"/>
      <c r="Z125" s="363"/>
      <c r="AA125" s="363"/>
      <c r="AB125" s="363"/>
      <c r="AC125" s="363"/>
      <c r="AD125" s="363"/>
      <c r="AE125" s="238"/>
      <c r="AF125" s="238"/>
      <c r="AG125" s="271"/>
      <c r="AH125" s="272"/>
      <c r="AI125" s="273"/>
      <c r="AJ125" s="40"/>
      <c r="AK125" s="40"/>
      <c r="AL125" s="400"/>
      <c r="AM125" s="403"/>
      <c r="AN125" s="401"/>
      <c r="AO125" s="396"/>
      <c r="AP125" s="346"/>
      <c r="AQ125" s="346"/>
      <c r="AR125" s="1"/>
      <c r="AS125" s="1"/>
    </row>
    <row r="126" spans="1:45" ht="12.75">
      <c r="A126" s="291" t="s">
        <v>90</v>
      </c>
      <c r="B126" s="293">
        <v>2782000</v>
      </c>
      <c r="C126" s="294">
        <v>3.8152</v>
      </c>
      <c r="D126" s="606">
        <v>0.9</v>
      </c>
      <c r="E126" s="294">
        <v>76.9</v>
      </c>
      <c r="F126" s="294">
        <v>1.085</v>
      </c>
      <c r="G126" s="300"/>
      <c r="H126" s="300"/>
      <c r="I126" s="293">
        <v>6359.5</v>
      </c>
      <c r="J126" s="294"/>
      <c r="K126" s="299">
        <v>4.14</v>
      </c>
      <c r="L126" s="299">
        <v>4.129</v>
      </c>
      <c r="M126" s="299">
        <v>4.185</v>
      </c>
      <c r="N126" s="299">
        <v>4.306</v>
      </c>
      <c r="O126" s="299">
        <v>4.282</v>
      </c>
      <c r="P126" s="299">
        <v>4.107</v>
      </c>
      <c r="Q126" s="363"/>
      <c r="R126" s="363"/>
      <c r="S126" s="363"/>
      <c r="T126" s="363"/>
      <c r="U126" s="363"/>
      <c r="V126" s="363"/>
      <c r="W126" s="363"/>
      <c r="X126" s="363"/>
      <c r="Y126" s="363"/>
      <c r="Z126" s="363"/>
      <c r="AA126" s="363"/>
      <c r="AB126" s="363"/>
      <c r="AC126" s="363"/>
      <c r="AD126" s="363"/>
      <c r="AE126" s="238"/>
      <c r="AF126" s="238"/>
      <c r="AG126" s="271"/>
      <c r="AH126" s="272"/>
      <c r="AI126" s="273"/>
      <c r="AJ126" s="40"/>
      <c r="AK126" s="40"/>
      <c r="AL126" s="400"/>
      <c r="AM126" s="403"/>
      <c r="AN126" s="401"/>
      <c r="AO126" s="396"/>
      <c r="AP126" s="346"/>
      <c r="AQ126" s="346"/>
      <c r="AR126" s="1"/>
      <c r="AS126" s="1"/>
    </row>
    <row r="127" spans="1:45" ht="12.75">
      <c r="A127" s="291" t="s">
        <v>6</v>
      </c>
      <c r="B127" s="293">
        <v>127433000</v>
      </c>
      <c r="C127" s="294">
        <v>8.8286</v>
      </c>
      <c r="D127" s="606">
        <v>0</v>
      </c>
      <c r="E127" s="294">
        <v>83.2</v>
      </c>
      <c r="F127" s="294">
        <v>1.395</v>
      </c>
      <c r="G127" s="295">
        <v>0.5403749625116412</v>
      </c>
      <c r="H127" s="295">
        <v>0.5858634210395528</v>
      </c>
      <c r="I127" s="293">
        <v>27572.333333333332</v>
      </c>
      <c r="J127" s="294"/>
      <c r="K127" s="297">
        <v>9.48</v>
      </c>
      <c r="L127" s="297">
        <v>9.401</v>
      </c>
      <c r="M127" s="297">
        <v>9.434</v>
      </c>
      <c r="N127" s="297">
        <v>9.813</v>
      </c>
      <c r="O127" s="297">
        <v>9.855</v>
      </c>
      <c r="P127" s="297">
        <v>9.733</v>
      </c>
      <c r="Q127" s="363"/>
      <c r="R127" s="363"/>
      <c r="S127" s="363"/>
      <c r="T127" s="363"/>
      <c r="U127" s="363"/>
      <c r="V127" s="363"/>
      <c r="W127" s="363"/>
      <c r="X127" s="363"/>
      <c r="Y127" s="363"/>
      <c r="Z127" s="363"/>
      <c r="AA127" s="363"/>
      <c r="AB127" s="363"/>
      <c r="AC127" s="363"/>
      <c r="AD127" s="363"/>
      <c r="AE127" s="238"/>
      <c r="AF127" s="238"/>
      <c r="AG127" s="271"/>
      <c r="AH127" s="272"/>
      <c r="AI127" s="273"/>
      <c r="AJ127" s="40"/>
      <c r="AK127" s="40"/>
      <c r="AL127" s="400"/>
      <c r="AM127" s="403"/>
      <c r="AN127" s="401"/>
      <c r="AO127" s="396"/>
      <c r="AP127" s="346"/>
      <c r="AQ127" s="346"/>
      <c r="AR127" s="1"/>
      <c r="AS127" s="1"/>
    </row>
    <row r="128" spans="1:45" ht="12.75">
      <c r="A128" s="291" t="s">
        <v>98</v>
      </c>
      <c r="B128" s="293">
        <v>5997000</v>
      </c>
      <c r="C128" s="294">
        <v>3.0794</v>
      </c>
      <c r="D128" s="606">
        <v>0</v>
      </c>
      <c r="E128" s="294">
        <v>71.25</v>
      </c>
      <c r="F128" s="294">
        <v>0.985</v>
      </c>
      <c r="G128" s="300"/>
      <c r="H128" s="300"/>
      <c r="I128" s="293">
        <v>3663</v>
      </c>
      <c r="J128" s="294"/>
      <c r="K128" s="297">
        <v>3.335</v>
      </c>
      <c r="L128" s="297">
        <v>3.191</v>
      </c>
      <c r="M128" s="297">
        <v>3.263</v>
      </c>
      <c r="N128" s="297">
        <v>3.406</v>
      </c>
      <c r="O128" s="297">
        <v>3.555</v>
      </c>
      <c r="P128" s="297">
        <v>3.676</v>
      </c>
      <c r="Q128" s="363"/>
      <c r="R128" s="363"/>
      <c r="S128" s="363"/>
      <c r="T128" s="363"/>
      <c r="U128" s="363"/>
      <c r="V128" s="363"/>
      <c r="W128" s="363"/>
      <c r="X128" s="363"/>
      <c r="Y128" s="363"/>
      <c r="Z128" s="363"/>
      <c r="AA128" s="363"/>
      <c r="AB128" s="363"/>
      <c r="AC128" s="363"/>
      <c r="AD128" s="363"/>
      <c r="AE128" s="238"/>
      <c r="AF128" s="238"/>
      <c r="AG128" s="271"/>
      <c r="AH128" s="272"/>
      <c r="AI128" s="273"/>
      <c r="AJ128" s="40"/>
      <c r="AK128" s="40"/>
      <c r="AL128" s="400"/>
      <c r="AM128" s="403"/>
      <c r="AN128" s="401"/>
      <c r="AO128" s="396"/>
      <c r="AP128" s="346"/>
      <c r="AQ128" s="346"/>
      <c r="AR128" s="1"/>
      <c r="AS128" s="1"/>
    </row>
    <row r="129" spans="1:45" ht="12.75">
      <c r="A129" s="291" t="s">
        <v>93</v>
      </c>
      <c r="B129" s="293">
        <v>15285000</v>
      </c>
      <c r="C129" s="294">
        <v>10.203874999999998</v>
      </c>
      <c r="D129" s="606">
        <v>-0.15</v>
      </c>
      <c r="E129" s="294">
        <v>64.25</v>
      </c>
      <c r="F129" s="294">
        <v>1.325</v>
      </c>
      <c r="G129" s="300"/>
      <c r="H129" s="300"/>
      <c r="I129" s="293">
        <v>6656.333333333333</v>
      </c>
      <c r="J129" s="294"/>
      <c r="K129" s="297">
        <v>9.434</v>
      </c>
      <c r="L129" s="297">
        <v>9.742</v>
      </c>
      <c r="M129" s="297">
        <v>9.977</v>
      </c>
      <c r="N129" s="297">
        <v>9.713</v>
      </c>
      <c r="O129" s="297">
        <v>10.868</v>
      </c>
      <c r="P129" s="297">
        <v>10.985</v>
      </c>
      <c r="Q129" s="363"/>
      <c r="R129" s="363"/>
      <c r="S129" s="363"/>
      <c r="T129" s="363"/>
      <c r="U129" s="363"/>
      <c r="V129" s="363"/>
      <c r="W129" s="363"/>
      <c r="X129" s="363"/>
      <c r="Y129" s="363"/>
      <c r="Z129" s="363"/>
      <c r="AA129" s="363"/>
      <c r="AB129" s="363"/>
      <c r="AC129" s="363"/>
      <c r="AD129" s="363"/>
      <c r="AE129" s="238"/>
      <c r="AF129" s="238"/>
      <c r="AG129" s="271"/>
      <c r="AH129" s="272"/>
      <c r="AI129" s="273"/>
      <c r="AJ129" s="40"/>
      <c r="AK129" s="40"/>
      <c r="AL129" s="400"/>
      <c r="AM129" s="403"/>
      <c r="AN129" s="401"/>
      <c r="AO129" s="396"/>
      <c r="AP129" s="346"/>
      <c r="AQ129" s="346"/>
      <c r="AR129" s="1"/>
      <c r="AS129" s="1"/>
    </row>
    <row r="130" spans="1:45" ht="12.75">
      <c r="A130" s="291" t="s">
        <v>107</v>
      </c>
      <c r="B130" s="293">
        <v>36914000</v>
      </c>
      <c r="C130" s="294">
        <v>0.2636</v>
      </c>
      <c r="D130" s="606">
        <v>-0.45</v>
      </c>
      <c r="E130" s="294">
        <v>62.7</v>
      </c>
      <c r="F130" s="294">
        <v>0.815</v>
      </c>
      <c r="G130" s="300"/>
      <c r="H130" s="300"/>
      <c r="I130" s="293">
        <v>1215.3333333333333</v>
      </c>
      <c r="J130" s="294"/>
      <c r="K130" s="297">
        <v>0.285</v>
      </c>
      <c r="L130" s="297">
        <v>0.255</v>
      </c>
      <c r="M130" s="297">
        <v>0.247</v>
      </c>
      <c r="N130" s="297">
        <v>0.253</v>
      </c>
      <c r="O130" s="297">
        <v>0.271</v>
      </c>
      <c r="P130" s="297">
        <v>0.293</v>
      </c>
      <c r="Q130" s="363"/>
      <c r="R130" s="363"/>
      <c r="S130" s="363"/>
      <c r="T130" s="363"/>
      <c r="U130" s="363"/>
      <c r="V130" s="363"/>
      <c r="W130" s="363"/>
      <c r="X130" s="363"/>
      <c r="Y130" s="363"/>
      <c r="Z130" s="363"/>
      <c r="AA130" s="363"/>
      <c r="AB130" s="363"/>
      <c r="AC130" s="363"/>
      <c r="AD130" s="363"/>
      <c r="AE130" s="238"/>
      <c r="AF130" s="238"/>
      <c r="AG130" s="271"/>
      <c r="AH130" s="272"/>
      <c r="AI130" s="273"/>
      <c r="AJ130" s="40"/>
      <c r="AK130" s="40"/>
      <c r="AL130" s="400"/>
      <c r="AM130" s="403"/>
      <c r="AN130" s="401"/>
      <c r="AO130" s="396"/>
      <c r="AP130" s="346"/>
      <c r="AQ130" s="346"/>
      <c r="AR130" s="1"/>
      <c r="AS130" s="1"/>
    </row>
    <row r="131" spans="1:45" ht="12.75">
      <c r="A131" s="291" t="s">
        <v>183</v>
      </c>
      <c r="B131" s="293">
        <v>95000</v>
      </c>
      <c r="C131" s="294">
        <v>0.29599999999999993</v>
      </c>
      <c r="D131" s="606">
        <v>0</v>
      </c>
      <c r="E131" s="305"/>
      <c r="F131" s="305"/>
      <c r="G131" s="295"/>
      <c r="H131" s="295"/>
      <c r="I131" s="293">
        <v>2195</v>
      </c>
      <c r="J131" s="294"/>
      <c r="K131" s="297">
        <v>0.299</v>
      </c>
      <c r="L131" s="297">
        <v>0.293</v>
      </c>
      <c r="M131" s="297">
        <v>0.359</v>
      </c>
      <c r="N131" s="297">
        <v>0.353</v>
      </c>
      <c r="O131" s="297">
        <v>0.349</v>
      </c>
      <c r="P131" s="297">
        <v>0.411</v>
      </c>
      <c r="Q131" s="363"/>
      <c r="R131" s="363"/>
      <c r="S131" s="363"/>
      <c r="T131" s="363"/>
      <c r="U131" s="363"/>
      <c r="V131" s="363"/>
      <c r="W131" s="363"/>
      <c r="X131" s="363"/>
      <c r="Y131" s="363"/>
      <c r="Z131" s="363"/>
      <c r="AA131" s="363"/>
      <c r="AB131" s="363"/>
      <c r="AC131" s="363"/>
      <c r="AD131" s="363"/>
      <c r="AE131" s="238"/>
      <c r="AF131" s="238"/>
      <c r="AG131" s="271"/>
      <c r="AH131" s="272"/>
      <c r="AI131" s="273"/>
      <c r="AJ131" s="40"/>
      <c r="AK131" s="40"/>
      <c r="AL131" s="400"/>
      <c r="AM131" s="403"/>
      <c r="AN131" s="401"/>
      <c r="AO131" s="396"/>
      <c r="AP131" s="346"/>
      <c r="AQ131" s="346"/>
      <c r="AR131" s="1"/>
      <c r="AS131" s="1"/>
    </row>
    <row r="132" spans="1:45" ht="12.75">
      <c r="A132" s="291" t="s">
        <v>7</v>
      </c>
      <c r="B132" s="293">
        <v>2507000</v>
      </c>
      <c r="C132" s="294">
        <v>26.316000000000003</v>
      </c>
      <c r="D132" s="606">
        <v>0.15</v>
      </c>
      <c r="E132" s="294">
        <v>61.218538103675556</v>
      </c>
      <c r="F132" s="294">
        <v>1.035</v>
      </c>
      <c r="G132" s="300"/>
      <c r="H132" s="300"/>
      <c r="I132" s="298">
        <v>39202.833333333336</v>
      </c>
      <c r="J132" s="294"/>
      <c r="K132" s="297">
        <v>30.14</v>
      </c>
      <c r="L132" s="297">
        <v>28.131</v>
      </c>
      <c r="M132" s="297">
        <v>26.621</v>
      </c>
      <c r="N132" s="297">
        <v>29.047</v>
      </c>
      <c r="O132" s="297">
        <v>30.053</v>
      </c>
      <c r="P132" s="297">
        <v>32.835</v>
      </c>
      <c r="Q132" s="363"/>
      <c r="R132" s="363"/>
      <c r="S132" s="363"/>
      <c r="T132" s="363"/>
      <c r="U132" s="363"/>
      <c r="V132" s="363"/>
      <c r="W132" s="363"/>
      <c r="X132" s="363"/>
      <c r="Y132" s="363"/>
      <c r="Z132" s="363"/>
      <c r="AA132" s="363"/>
      <c r="AB132" s="363"/>
      <c r="AC132" s="363"/>
      <c r="AD132" s="363"/>
      <c r="AE132" s="238"/>
      <c r="AF132" s="238"/>
      <c r="AG132" s="271"/>
      <c r="AH132" s="272"/>
      <c r="AI132" s="273"/>
      <c r="AJ132" s="40"/>
      <c r="AK132" s="40"/>
      <c r="AL132" s="400"/>
      <c r="AM132" s="403"/>
      <c r="AN132" s="401"/>
      <c r="AO132" s="396"/>
      <c r="AP132" s="346"/>
      <c r="AQ132" s="346"/>
      <c r="AR132" s="1"/>
      <c r="AS132" s="1"/>
    </row>
    <row r="133" spans="1:45" ht="12.75">
      <c r="A133" s="291" t="s">
        <v>82</v>
      </c>
      <c r="B133" s="293">
        <v>5284000</v>
      </c>
      <c r="C133" s="294">
        <v>1.8525</v>
      </c>
      <c r="D133" s="606">
        <v>0.15</v>
      </c>
      <c r="E133" s="294">
        <v>65.05</v>
      </c>
      <c r="F133" s="294">
        <v>0.85</v>
      </c>
      <c r="G133" s="300"/>
      <c r="H133" s="300"/>
      <c r="I133" s="293">
        <v>1525.8333333333333</v>
      </c>
      <c r="J133" s="294"/>
      <c r="K133" s="297">
        <v>1.486</v>
      </c>
      <c r="L133" s="297">
        <v>1.33</v>
      </c>
      <c r="M133" s="297">
        <v>1.165</v>
      </c>
      <c r="N133" s="297">
        <v>1.039</v>
      </c>
      <c r="O133" s="297">
        <v>1.155</v>
      </c>
      <c r="P133" s="297">
        <v>1.072</v>
      </c>
      <c r="Q133" s="363"/>
      <c r="R133" s="363"/>
      <c r="S133" s="363"/>
      <c r="T133" s="363"/>
      <c r="U133" s="363"/>
      <c r="V133" s="363"/>
      <c r="W133" s="363"/>
      <c r="X133" s="363"/>
      <c r="Y133" s="363"/>
      <c r="Z133" s="363"/>
      <c r="AA133" s="363"/>
      <c r="AB133" s="363"/>
      <c r="AC133" s="363"/>
      <c r="AD133" s="363"/>
      <c r="AE133" s="238"/>
      <c r="AF133" s="238"/>
      <c r="AG133" s="271"/>
      <c r="AH133" s="272"/>
      <c r="AI133" s="273"/>
      <c r="AJ133" s="40"/>
      <c r="AK133" s="40"/>
      <c r="AL133" s="400"/>
      <c r="AM133" s="403"/>
      <c r="AN133" s="401"/>
      <c r="AO133" s="396"/>
      <c r="AP133" s="346"/>
      <c r="AQ133" s="346"/>
      <c r="AR133" s="1"/>
      <c r="AS133" s="1"/>
    </row>
    <row r="134" spans="1:45" ht="12.75">
      <c r="A134" s="291" t="s">
        <v>83</v>
      </c>
      <c r="B134" s="293">
        <v>6035000</v>
      </c>
      <c r="C134" s="294">
        <v>0.0936</v>
      </c>
      <c r="D134" s="606">
        <v>-7.65</v>
      </c>
      <c r="E134" s="294">
        <v>59.6</v>
      </c>
      <c r="F134" s="294">
        <v>0.975</v>
      </c>
      <c r="G134" s="300"/>
      <c r="H134" s="300"/>
      <c r="I134" s="293">
        <v>1411.3333333333333</v>
      </c>
      <c r="J134" s="294"/>
      <c r="K134" s="297">
        <v>0.172</v>
      </c>
      <c r="L134" s="297">
        <v>0.186</v>
      </c>
      <c r="M134" s="297">
        <v>0.193</v>
      </c>
      <c r="N134" s="297">
        <v>0.198</v>
      </c>
      <c r="O134" s="297">
        <v>0.198</v>
      </c>
      <c r="P134" s="297">
        <v>0.202</v>
      </c>
      <c r="Q134" s="363"/>
      <c r="R134" s="363"/>
      <c r="S134" s="363"/>
      <c r="T134" s="363"/>
      <c r="U134" s="363"/>
      <c r="V134" s="363"/>
      <c r="W134" s="363"/>
      <c r="X134" s="363"/>
      <c r="Y134" s="363"/>
      <c r="Z134" s="363"/>
      <c r="AA134" s="363"/>
      <c r="AB134" s="363"/>
      <c r="AC134" s="363"/>
      <c r="AD134" s="363"/>
      <c r="AE134" s="238"/>
      <c r="AF134" s="238"/>
      <c r="AG134" s="271"/>
      <c r="AH134" s="272"/>
      <c r="AI134" s="273"/>
      <c r="AJ134" s="40"/>
      <c r="AK134" s="40"/>
      <c r="AL134" s="400"/>
      <c r="AM134" s="403"/>
      <c r="AN134" s="401"/>
      <c r="AO134" s="396"/>
      <c r="AP134" s="346"/>
      <c r="AQ134" s="346"/>
      <c r="AR134" s="1"/>
      <c r="AS134" s="1"/>
    </row>
    <row r="135" spans="1:45" ht="12.75">
      <c r="A135" s="291" t="s">
        <v>33</v>
      </c>
      <c r="B135" s="293">
        <v>2260000</v>
      </c>
      <c r="C135" s="294">
        <v>3.718875</v>
      </c>
      <c r="D135" s="606">
        <v>2.7</v>
      </c>
      <c r="E135" s="294">
        <v>84.28226641250217</v>
      </c>
      <c r="F135" s="294">
        <v>2.57</v>
      </c>
      <c r="G135" s="300"/>
      <c r="H135" s="300"/>
      <c r="I135" s="293">
        <v>10368.833333333334</v>
      </c>
      <c r="J135" s="294"/>
      <c r="K135" s="297">
        <v>3.104</v>
      </c>
      <c r="L135" s="297">
        <v>3.252</v>
      </c>
      <c r="M135" s="297">
        <v>3.18</v>
      </c>
      <c r="N135" s="297">
        <v>3.388</v>
      </c>
      <c r="O135" s="297">
        <v>3.55</v>
      </c>
      <c r="P135" s="297">
        <v>3.758</v>
      </c>
      <c r="Q135" s="363"/>
      <c r="R135" s="363"/>
      <c r="S135" s="363"/>
      <c r="T135" s="363"/>
      <c r="U135" s="363"/>
      <c r="V135" s="363"/>
      <c r="W135" s="363"/>
      <c r="X135" s="363"/>
      <c r="Y135" s="363"/>
      <c r="Z135" s="363"/>
      <c r="AA135" s="363"/>
      <c r="AB135" s="363"/>
      <c r="AC135" s="363"/>
      <c r="AD135" s="363"/>
      <c r="AE135" s="238"/>
      <c r="AF135" s="238"/>
      <c r="AG135" s="271"/>
      <c r="AH135" s="272"/>
      <c r="AI135" s="273"/>
      <c r="AJ135" s="40"/>
      <c r="AK135" s="40"/>
      <c r="AL135" s="400"/>
      <c r="AM135" s="403"/>
      <c r="AN135" s="401"/>
      <c r="AO135" s="396"/>
      <c r="AP135" s="346"/>
      <c r="AQ135" s="346"/>
      <c r="AR135" s="1"/>
      <c r="AS135" s="1"/>
    </row>
    <row r="136" spans="1:45" ht="12.75">
      <c r="A136" s="291" t="s">
        <v>91</v>
      </c>
      <c r="B136" s="293">
        <v>3896000</v>
      </c>
      <c r="C136" s="294">
        <v>3.1625</v>
      </c>
      <c r="D136" s="606">
        <v>0.75</v>
      </c>
      <c r="E136" s="294">
        <v>73.5</v>
      </c>
      <c r="F136" s="294">
        <v>1.07</v>
      </c>
      <c r="G136" s="300"/>
      <c r="H136" s="300"/>
      <c r="I136" s="293">
        <v>8564.833333333334</v>
      </c>
      <c r="J136" s="294"/>
      <c r="K136" s="297">
        <v>4.34</v>
      </c>
      <c r="L136" s="297">
        <v>4.189</v>
      </c>
      <c r="M136" s="297">
        <v>4.177</v>
      </c>
      <c r="N136" s="297">
        <v>4.188</v>
      </c>
      <c r="O136" s="297">
        <v>4.064</v>
      </c>
      <c r="P136" s="297">
        <v>3.863</v>
      </c>
      <c r="Q136" s="363"/>
      <c r="R136" s="363"/>
      <c r="S136" s="363"/>
      <c r="T136" s="363"/>
      <c r="U136" s="363"/>
      <c r="V136" s="363"/>
      <c r="W136" s="363"/>
      <c r="X136" s="363"/>
      <c r="Y136" s="363"/>
      <c r="Z136" s="363"/>
      <c r="AA136" s="363"/>
      <c r="AB136" s="363"/>
      <c r="AC136" s="363"/>
      <c r="AD136" s="363"/>
      <c r="AE136" s="238"/>
      <c r="AF136" s="238"/>
      <c r="AG136" s="271"/>
      <c r="AH136" s="272"/>
      <c r="AI136" s="273"/>
      <c r="AJ136" s="40"/>
      <c r="AK136" s="40"/>
      <c r="AL136" s="400"/>
      <c r="AM136" s="403"/>
      <c r="AN136" s="401"/>
      <c r="AO136" s="396"/>
      <c r="AP136" s="346"/>
      <c r="AQ136" s="346"/>
      <c r="AR136" s="1"/>
      <c r="AS136" s="1"/>
    </row>
    <row r="137" spans="1:45" ht="12.75">
      <c r="A137" s="291" t="s">
        <v>184</v>
      </c>
      <c r="B137" s="293">
        <v>3270000</v>
      </c>
      <c r="C137" s="294">
        <v>0.1979</v>
      </c>
      <c r="D137" s="606">
        <v>-7.05</v>
      </c>
      <c r="E137" s="294">
        <v>53.85</v>
      </c>
      <c r="F137" s="294">
        <v>0.795</v>
      </c>
      <c r="G137" s="295"/>
      <c r="H137" s="295"/>
      <c r="I137" s="293">
        <v>377.8333333333333</v>
      </c>
      <c r="J137" s="294"/>
      <c r="K137" s="297">
        <v>0.17</v>
      </c>
      <c r="L137" s="297">
        <v>0.175</v>
      </c>
      <c r="M137" s="297">
        <v>0.183</v>
      </c>
      <c r="N137" s="297">
        <v>0.187</v>
      </c>
      <c r="O137" s="297">
        <v>0.189</v>
      </c>
      <c r="P137" s="297">
        <v>0.183</v>
      </c>
      <c r="Q137" s="363"/>
      <c r="R137" s="363"/>
      <c r="S137" s="363"/>
      <c r="T137" s="363"/>
      <c r="U137" s="363"/>
      <c r="V137" s="363"/>
      <c r="W137" s="363"/>
      <c r="X137" s="363"/>
      <c r="Y137" s="363"/>
      <c r="Z137" s="363"/>
      <c r="AA137" s="363"/>
      <c r="AB137" s="363"/>
      <c r="AC137" s="363"/>
      <c r="AD137" s="363"/>
      <c r="AE137" s="238"/>
      <c r="AF137" s="238"/>
      <c r="AG137" s="271"/>
      <c r="AH137" s="272"/>
      <c r="AI137" s="273"/>
      <c r="AJ137" s="40"/>
      <c r="AK137" s="40"/>
      <c r="AL137" s="400"/>
      <c r="AM137" s="403"/>
      <c r="AN137" s="401"/>
      <c r="AO137" s="396"/>
      <c r="AP137" s="346"/>
      <c r="AQ137" s="346"/>
      <c r="AR137" s="1"/>
      <c r="AS137" s="1"/>
    </row>
    <row r="138" spans="1:45" ht="12.75">
      <c r="A138" s="291" t="s">
        <v>268</v>
      </c>
      <c r="B138" s="293">
        <v>6050000</v>
      </c>
      <c r="C138" s="294">
        <v>8.7924</v>
      </c>
      <c r="D138" s="606">
        <v>0</v>
      </c>
      <c r="E138" s="294">
        <v>58.40467354241045</v>
      </c>
      <c r="F138" s="294">
        <v>0.95</v>
      </c>
      <c r="G138" s="300"/>
      <c r="H138" s="300"/>
      <c r="I138" s="298">
        <v>9852.666666666666</v>
      </c>
      <c r="J138" s="294"/>
      <c r="K138" s="297">
        <v>8.173</v>
      </c>
      <c r="L138" s="297">
        <v>8.274</v>
      </c>
      <c r="M138" s="297">
        <v>8.993</v>
      </c>
      <c r="N138" s="297">
        <v>8.419</v>
      </c>
      <c r="O138" s="297">
        <v>9.277</v>
      </c>
      <c r="P138" s="297">
        <v>9.84</v>
      </c>
      <c r="Q138" s="363"/>
      <c r="R138" s="363"/>
      <c r="S138" s="363"/>
      <c r="T138" s="363"/>
      <c r="U138" s="363"/>
      <c r="V138" s="363"/>
      <c r="W138" s="363"/>
      <c r="X138" s="363"/>
      <c r="Y138" s="363"/>
      <c r="Z138" s="363"/>
      <c r="AA138" s="363"/>
      <c r="AB138" s="363"/>
      <c r="AC138" s="363"/>
      <c r="AD138" s="363"/>
      <c r="AE138" s="238"/>
      <c r="AF138" s="238"/>
      <c r="AG138" s="271"/>
      <c r="AH138" s="272"/>
      <c r="AI138" s="273"/>
      <c r="AJ138" s="40"/>
      <c r="AK138" s="40"/>
      <c r="AL138" s="400"/>
      <c r="AM138" s="403"/>
      <c r="AN138" s="401"/>
      <c r="AO138" s="396"/>
      <c r="AP138" s="346"/>
      <c r="AQ138" s="346"/>
      <c r="AR138" s="1"/>
      <c r="AS138" s="1"/>
    </row>
    <row r="139" spans="1:45" ht="12.75">
      <c r="A139" s="291" t="s">
        <v>47</v>
      </c>
      <c r="B139" s="293">
        <v>3575000</v>
      </c>
      <c r="C139" s="294">
        <v>4.7722500000000005</v>
      </c>
      <c r="D139" s="606">
        <v>4.2</v>
      </c>
      <c r="E139" s="294">
        <v>81.81454239591989</v>
      </c>
      <c r="F139" s="294">
        <v>2.315</v>
      </c>
      <c r="G139" s="295">
        <v>0.8078049128820338</v>
      </c>
      <c r="H139" s="295">
        <v>0.7715617715617716</v>
      </c>
      <c r="I139" s="293">
        <v>11321.166666666666</v>
      </c>
      <c r="J139" s="294"/>
      <c r="K139" s="297">
        <v>3.632</v>
      </c>
      <c r="L139" s="297">
        <v>3.571</v>
      </c>
      <c r="M139" s="297">
        <v>3.66</v>
      </c>
      <c r="N139" s="297">
        <v>3.754</v>
      </c>
      <c r="O139" s="297">
        <v>3.712</v>
      </c>
      <c r="P139" s="297">
        <v>4.354</v>
      </c>
      <c r="Q139" s="363"/>
      <c r="R139" s="363"/>
      <c r="S139" s="363"/>
      <c r="T139" s="363"/>
      <c r="U139" s="363"/>
      <c r="V139" s="363"/>
      <c r="W139" s="363"/>
      <c r="X139" s="363"/>
      <c r="Y139" s="363"/>
      <c r="Z139" s="363"/>
      <c r="AA139" s="363"/>
      <c r="AB139" s="363"/>
      <c r="AC139" s="363"/>
      <c r="AD139" s="363"/>
      <c r="AE139" s="238"/>
      <c r="AF139" s="238"/>
      <c r="AG139" s="271"/>
      <c r="AH139" s="272"/>
      <c r="AI139" s="273"/>
      <c r="AJ139" s="40"/>
      <c r="AK139" s="40"/>
      <c r="AL139" s="400"/>
      <c r="AM139" s="403"/>
      <c r="AN139" s="401"/>
      <c r="AO139" s="396"/>
      <c r="AP139" s="346"/>
      <c r="AQ139" s="346"/>
      <c r="AR139" s="1"/>
      <c r="AS139" s="1"/>
    </row>
    <row r="140" spans="1:45" ht="12.75">
      <c r="A140" s="291" t="s">
        <v>8</v>
      </c>
      <c r="B140" s="293">
        <v>480000</v>
      </c>
      <c r="C140" s="294">
        <v>24.547599999999996</v>
      </c>
      <c r="D140" s="606">
        <v>0.6</v>
      </c>
      <c r="E140" s="294">
        <v>78.87225606845641</v>
      </c>
      <c r="F140" s="305"/>
      <c r="G140" s="300"/>
      <c r="H140" s="300"/>
      <c r="I140" s="293">
        <v>59849</v>
      </c>
      <c r="J140" s="294"/>
      <c r="K140" s="299">
        <v>20.558</v>
      </c>
      <c r="L140" s="299">
        <v>21.296</v>
      </c>
      <c r="M140" s="299">
        <v>23.166</v>
      </c>
      <c r="N140" s="299">
        <v>24.149</v>
      </c>
      <c r="O140" s="299">
        <v>26.583</v>
      </c>
      <c r="P140" s="299">
        <v>26.862</v>
      </c>
      <c r="Q140" s="363"/>
      <c r="R140" s="363"/>
      <c r="S140" s="363"/>
      <c r="T140" s="363"/>
      <c r="U140" s="363"/>
      <c r="V140" s="363"/>
      <c r="W140" s="363"/>
      <c r="X140" s="363"/>
      <c r="Y140" s="363"/>
      <c r="Z140" s="363"/>
      <c r="AA140" s="363"/>
      <c r="AB140" s="363"/>
      <c r="AC140" s="363"/>
      <c r="AD140" s="363"/>
      <c r="AE140" s="238"/>
      <c r="AF140" s="238"/>
      <c r="AG140" s="271"/>
      <c r="AH140" s="272"/>
      <c r="AI140" s="273"/>
      <c r="AJ140" s="40"/>
      <c r="AK140" s="40"/>
      <c r="AL140" s="400"/>
      <c r="AM140" s="403"/>
      <c r="AN140" s="401"/>
      <c r="AO140" s="396"/>
      <c r="AP140" s="346"/>
      <c r="AQ140" s="346"/>
      <c r="AR140" s="1"/>
      <c r="AS140" s="1"/>
    </row>
    <row r="141" spans="1:45" ht="12.75">
      <c r="A141" s="291" t="s">
        <v>77</v>
      </c>
      <c r="B141" s="293">
        <v>2056000</v>
      </c>
      <c r="C141" s="294">
        <v>4.977625</v>
      </c>
      <c r="D141" s="606">
        <v>3.6</v>
      </c>
      <c r="E141" s="294">
        <v>71.27925909435712</v>
      </c>
      <c r="F141" s="294">
        <v>1.19</v>
      </c>
      <c r="G141" s="300"/>
      <c r="H141" s="300"/>
      <c r="I141" s="293">
        <v>6523.833333333333</v>
      </c>
      <c r="J141" s="294"/>
      <c r="K141" s="299">
        <v>4.178</v>
      </c>
      <c r="L141" s="299">
        <v>4.106</v>
      </c>
      <c r="M141" s="299">
        <v>3.999</v>
      </c>
      <c r="N141" s="299">
        <v>4.111</v>
      </c>
      <c r="O141" s="299">
        <v>4.059</v>
      </c>
      <c r="P141" s="299">
        <v>4.045</v>
      </c>
      <c r="Q141" s="363"/>
      <c r="R141" s="363"/>
      <c r="S141" s="363"/>
      <c r="T141" s="363"/>
      <c r="U141" s="363"/>
      <c r="V141" s="363"/>
      <c r="W141" s="363"/>
      <c r="X141" s="363"/>
      <c r="Y141" s="363"/>
      <c r="Z141" s="363"/>
      <c r="AA141" s="363"/>
      <c r="AB141" s="363"/>
      <c r="AC141" s="363"/>
      <c r="AD141" s="363"/>
      <c r="AE141" s="238"/>
      <c r="AF141" s="238"/>
      <c r="AG141" s="271"/>
      <c r="AH141" s="272"/>
      <c r="AI141" s="273"/>
      <c r="AJ141" s="40"/>
      <c r="AK141" s="40"/>
      <c r="AL141" s="400"/>
      <c r="AM141" s="403"/>
      <c r="AN141" s="401"/>
      <c r="AO141" s="396"/>
      <c r="AP141" s="346"/>
      <c r="AQ141" s="346"/>
      <c r="AR141" s="1"/>
      <c r="AS141" s="1"/>
    </row>
    <row r="142" spans="1:45" ht="12.75">
      <c r="A142" s="291" t="s">
        <v>116</v>
      </c>
      <c r="B142" s="293">
        <v>19449000</v>
      </c>
      <c r="C142" s="294">
        <v>0.08819999999999997</v>
      </c>
      <c r="D142" s="606">
        <v>-2.1</v>
      </c>
      <c r="E142" s="294">
        <v>51.55</v>
      </c>
      <c r="F142" s="294">
        <v>0.845</v>
      </c>
      <c r="G142" s="300"/>
      <c r="H142" s="300"/>
      <c r="I142" s="293">
        <v>808.8333333333334</v>
      </c>
      <c r="J142" s="294"/>
      <c r="K142" s="297">
        <v>0.115</v>
      </c>
      <c r="L142" s="297">
        <v>0.122</v>
      </c>
      <c r="M142" s="297">
        <v>0.137</v>
      </c>
      <c r="N142" s="297">
        <v>0.138</v>
      </c>
      <c r="O142" s="297">
        <v>0.148</v>
      </c>
      <c r="P142" s="297">
        <v>0.137</v>
      </c>
      <c r="Q142" s="363"/>
      <c r="R142" s="363"/>
      <c r="S142" s="363"/>
      <c r="T142" s="363"/>
      <c r="U142" s="363"/>
      <c r="V142" s="363"/>
      <c r="W142" s="363"/>
      <c r="X142" s="363"/>
      <c r="Y142" s="363"/>
      <c r="Z142" s="363"/>
      <c r="AA142" s="363"/>
      <c r="AB142" s="363"/>
      <c r="AC142" s="363"/>
      <c r="AD142" s="363"/>
      <c r="AE142" s="238"/>
      <c r="AF142" s="238"/>
      <c r="AG142" s="271"/>
      <c r="AH142" s="272"/>
      <c r="AI142" s="273"/>
      <c r="AJ142" s="40"/>
      <c r="AK142" s="40"/>
      <c r="AL142" s="400"/>
      <c r="AM142" s="403"/>
      <c r="AN142" s="401"/>
      <c r="AO142" s="396"/>
      <c r="AP142" s="346"/>
      <c r="AQ142" s="346"/>
      <c r="AR142" s="1"/>
      <c r="AS142" s="1"/>
    </row>
    <row r="143" spans="1:45" ht="12.75">
      <c r="A143" s="291" t="s">
        <v>106</v>
      </c>
      <c r="B143" s="293">
        <v>14233000</v>
      </c>
      <c r="C143" s="294">
        <v>0.06720000000000001</v>
      </c>
      <c r="D143" s="606">
        <v>-7.8</v>
      </c>
      <c r="E143" s="294">
        <v>58.2</v>
      </c>
      <c r="F143" s="294">
        <v>0.495</v>
      </c>
      <c r="G143" s="300"/>
      <c r="H143" s="300"/>
      <c r="I143" s="293">
        <v>596.1666666666666</v>
      </c>
      <c r="J143" s="294"/>
      <c r="K143" s="297">
        <v>0.079</v>
      </c>
      <c r="L143" s="297">
        <v>0.078</v>
      </c>
      <c r="M143" s="297">
        <v>0.078</v>
      </c>
      <c r="N143" s="297">
        <v>0.072</v>
      </c>
      <c r="O143" s="297">
        <v>0.081</v>
      </c>
      <c r="P143" s="297">
        <v>0.084</v>
      </c>
      <c r="Q143" s="363"/>
      <c r="R143" s="363"/>
      <c r="S143" s="363"/>
      <c r="T143" s="363"/>
      <c r="U143" s="363"/>
      <c r="V143" s="363"/>
      <c r="W143" s="363"/>
      <c r="X143" s="363"/>
      <c r="Y143" s="363"/>
      <c r="Z143" s="363"/>
      <c r="AA143" s="363"/>
      <c r="AB143" s="363"/>
      <c r="AC143" s="363"/>
      <c r="AD143" s="363"/>
      <c r="AE143" s="238"/>
      <c r="AF143" s="238"/>
      <c r="AG143" s="271"/>
      <c r="AH143" s="272"/>
      <c r="AI143" s="273"/>
      <c r="AJ143" s="40"/>
      <c r="AK143" s="40"/>
      <c r="AL143" s="400"/>
      <c r="AM143" s="403"/>
      <c r="AN143" s="401"/>
      <c r="AO143" s="396"/>
      <c r="AP143" s="346"/>
      <c r="AQ143" s="346"/>
      <c r="AR143" s="1"/>
      <c r="AS143" s="1"/>
    </row>
    <row r="144" spans="1:45" ht="12.75">
      <c r="A144" s="291" t="s">
        <v>9</v>
      </c>
      <c r="B144" s="293">
        <v>26896000</v>
      </c>
      <c r="C144" s="294">
        <v>4.294200000000001</v>
      </c>
      <c r="D144" s="606">
        <v>-6.75</v>
      </c>
      <c r="E144" s="294">
        <v>83.65</v>
      </c>
      <c r="F144" s="294">
        <v>1.26</v>
      </c>
      <c r="G144" s="300"/>
      <c r="H144" s="300"/>
      <c r="I144" s="293">
        <v>10012.166666666666</v>
      </c>
      <c r="J144" s="294"/>
      <c r="K144" s="297">
        <v>5.074</v>
      </c>
      <c r="L144" s="297">
        <v>5.23</v>
      </c>
      <c r="M144" s="297">
        <v>5.604</v>
      </c>
      <c r="N144" s="297">
        <v>5.812</v>
      </c>
      <c r="O144" s="297">
        <v>5.702</v>
      </c>
      <c r="P144" s="297">
        <v>5.684</v>
      </c>
      <c r="Q144" s="363"/>
      <c r="R144" s="363"/>
      <c r="S144" s="363"/>
      <c r="T144" s="363"/>
      <c r="U144" s="363"/>
      <c r="V144" s="363"/>
      <c r="W144" s="363"/>
      <c r="X144" s="363"/>
      <c r="Y144" s="363"/>
      <c r="Z144" s="363"/>
      <c r="AA144" s="363"/>
      <c r="AB144" s="363"/>
      <c r="AC144" s="363"/>
      <c r="AD144" s="363"/>
      <c r="AE144" s="238"/>
      <c r="AF144" s="238"/>
      <c r="AG144" s="271"/>
      <c r="AH144" s="272"/>
      <c r="AI144" s="273"/>
      <c r="AJ144" s="40"/>
      <c r="AK144" s="40"/>
      <c r="AL144" s="400"/>
      <c r="AM144" s="403"/>
      <c r="AN144" s="401"/>
      <c r="AO144" s="396"/>
      <c r="AP144" s="346"/>
      <c r="AQ144" s="346"/>
      <c r="AR144" s="1"/>
      <c r="AS144" s="1"/>
    </row>
    <row r="145" spans="1:45" ht="12.75">
      <c r="A145" s="291" t="s">
        <v>56</v>
      </c>
      <c r="B145" s="293">
        <v>365000</v>
      </c>
      <c r="C145" s="294">
        <v>0.8923</v>
      </c>
      <c r="D145" s="606">
        <v>0</v>
      </c>
      <c r="E145" s="294">
        <v>76.82371230428839</v>
      </c>
      <c r="F145" s="305"/>
      <c r="G145" s="300"/>
      <c r="H145" s="300"/>
      <c r="I145" s="293">
        <v>4621.666666666667</v>
      </c>
      <c r="J145" s="294"/>
      <c r="K145" s="297">
        <v>1.611</v>
      </c>
      <c r="L145" s="297">
        <v>1.694</v>
      </c>
      <c r="M145" s="297">
        <v>3.046</v>
      </c>
      <c r="N145" s="297">
        <v>3.353</v>
      </c>
      <c r="O145" s="297">
        <v>2.297</v>
      </c>
      <c r="P145" s="297">
        <v>1.79</v>
      </c>
      <c r="Q145" s="363"/>
      <c r="R145" s="363"/>
      <c r="S145" s="363"/>
      <c r="T145" s="363"/>
      <c r="U145" s="363"/>
      <c r="V145" s="363"/>
      <c r="W145" s="363"/>
      <c r="X145" s="363"/>
      <c r="Y145" s="363"/>
      <c r="Z145" s="363"/>
      <c r="AA145" s="363"/>
      <c r="AB145" s="363"/>
      <c r="AC145" s="363"/>
      <c r="AD145" s="363"/>
      <c r="AE145" s="238"/>
      <c r="AF145" s="238"/>
      <c r="AG145" s="271"/>
      <c r="AH145" s="272"/>
      <c r="AI145" s="273"/>
      <c r="AJ145" s="40"/>
      <c r="AK145" s="40"/>
      <c r="AL145" s="400"/>
      <c r="AM145" s="403"/>
      <c r="AN145" s="401"/>
      <c r="AO145" s="396"/>
      <c r="AP145" s="346"/>
      <c r="AQ145" s="346"/>
      <c r="AR145" s="1"/>
      <c r="AS145" s="1"/>
    </row>
    <row r="146" spans="1:45" ht="12.75">
      <c r="A146" s="291" t="s">
        <v>149</v>
      </c>
      <c r="B146" s="293">
        <v>12769000</v>
      </c>
      <c r="C146" s="294">
        <v>0.05600000000000001</v>
      </c>
      <c r="D146" s="606">
        <v>-1.35</v>
      </c>
      <c r="E146" s="294">
        <v>39.1</v>
      </c>
      <c r="F146" s="294">
        <v>1.155</v>
      </c>
      <c r="G146" s="300"/>
      <c r="H146" s="300"/>
      <c r="I146" s="293">
        <v>787.1666666666666</v>
      </c>
      <c r="J146" s="294"/>
      <c r="K146" s="297">
        <v>0.053</v>
      </c>
      <c r="L146" s="297">
        <v>0.052</v>
      </c>
      <c r="M146" s="297">
        <v>0.055</v>
      </c>
      <c r="N146" s="297">
        <v>0.054</v>
      </c>
      <c r="O146" s="297">
        <v>0.055</v>
      </c>
      <c r="P146" s="297">
        <v>0.059</v>
      </c>
      <c r="Q146" s="363"/>
      <c r="R146" s="363"/>
      <c r="S146" s="363"/>
      <c r="T146" s="363"/>
      <c r="U146" s="363"/>
      <c r="V146" s="363"/>
      <c r="W146" s="363"/>
      <c r="X146" s="363"/>
      <c r="Y146" s="363"/>
      <c r="Z146" s="363"/>
      <c r="AA146" s="363"/>
      <c r="AB146" s="363"/>
      <c r="AC146" s="363"/>
      <c r="AD146" s="363"/>
      <c r="AE146" s="238"/>
      <c r="AF146" s="238"/>
      <c r="AG146" s="271"/>
      <c r="AH146" s="272"/>
      <c r="AI146" s="273"/>
      <c r="AJ146" s="40"/>
      <c r="AK146" s="40"/>
      <c r="AL146" s="400"/>
      <c r="AM146" s="403"/>
      <c r="AN146" s="401"/>
      <c r="AO146" s="396"/>
      <c r="AP146" s="346"/>
      <c r="AQ146" s="346"/>
      <c r="AR146" s="1"/>
      <c r="AS146" s="1"/>
    </row>
    <row r="147" spans="1:45" ht="12.75">
      <c r="A147" s="291" t="s">
        <v>26</v>
      </c>
      <c r="B147" s="293">
        <v>402000</v>
      </c>
      <c r="C147" s="294">
        <v>7.1394</v>
      </c>
      <c r="D147" s="606">
        <v>0</v>
      </c>
      <c r="E147" s="294">
        <v>88.94763655261312</v>
      </c>
      <c r="F147" s="305"/>
      <c r="G147" s="300"/>
      <c r="H147" s="300"/>
      <c r="I147" s="298">
        <v>19279.333333333332</v>
      </c>
      <c r="J147" s="294"/>
      <c r="K147" s="299">
        <v>7.473</v>
      </c>
      <c r="L147" s="299">
        <v>6.305</v>
      </c>
      <c r="M147" s="299">
        <v>7.459</v>
      </c>
      <c r="N147" s="299">
        <v>7.401</v>
      </c>
      <c r="O147" s="299">
        <v>7.515</v>
      </c>
      <c r="P147" s="299">
        <v>7.739</v>
      </c>
      <c r="Q147" s="363"/>
      <c r="R147" s="363"/>
      <c r="S147" s="363"/>
      <c r="T147" s="363"/>
      <c r="U147" s="363"/>
      <c r="V147" s="363"/>
      <c r="W147" s="363"/>
      <c r="X147" s="363"/>
      <c r="Y147" s="363"/>
      <c r="Z147" s="363"/>
      <c r="AA147" s="363"/>
      <c r="AB147" s="363"/>
      <c r="AC147" s="363"/>
      <c r="AD147" s="363"/>
      <c r="AE147" s="238"/>
      <c r="AF147" s="238"/>
      <c r="AG147" s="271"/>
      <c r="AH147" s="272"/>
      <c r="AI147" s="273"/>
      <c r="AJ147" s="40"/>
      <c r="AK147" s="40"/>
      <c r="AL147" s="400"/>
      <c r="AM147" s="403"/>
      <c r="AN147" s="401"/>
      <c r="AO147" s="396"/>
      <c r="AP147" s="346"/>
      <c r="AQ147" s="346"/>
      <c r="AR147" s="1"/>
      <c r="AS147" s="1"/>
    </row>
    <row r="148" spans="1:45" ht="12.75">
      <c r="A148" s="291" t="s">
        <v>169</v>
      </c>
      <c r="B148" s="293">
        <v>426000</v>
      </c>
      <c r="C148" s="294">
        <v>4.6844</v>
      </c>
      <c r="D148" s="606">
        <v>0</v>
      </c>
      <c r="E148" s="305"/>
      <c r="F148" s="305"/>
      <c r="G148" s="295"/>
      <c r="H148" s="295"/>
      <c r="I148" s="308"/>
      <c r="J148" s="294"/>
      <c r="K148" s="299">
        <v>4.944</v>
      </c>
      <c r="L148" s="299">
        <v>4.913</v>
      </c>
      <c r="M148" s="299">
        <v>4.925</v>
      </c>
      <c r="N148" s="299">
        <v>5.095</v>
      </c>
      <c r="O148" s="299">
        <v>5.265</v>
      </c>
      <c r="P148" s="299">
        <v>5.544</v>
      </c>
      <c r="Q148" s="363"/>
      <c r="R148" s="363"/>
      <c r="S148" s="363"/>
      <c r="T148" s="363"/>
      <c r="U148" s="363"/>
      <c r="V148" s="363"/>
      <c r="W148" s="363"/>
      <c r="X148" s="363"/>
      <c r="Y148" s="363"/>
      <c r="Z148" s="363"/>
      <c r="AA148" s="363"/>
      <c r="AB148" s="363"/>
      <c r="AC148" s="363"/>
      <c r="AD148" s="363"/>
      <c r="AE148" s="238"/>
      <c r="AF148" s="238"/>
      <c r="AG148" s="271"/>
      <c r="AH148" s="272"/>
      <c r="AI148" s="273"/>
      <c r="AJ148" s="40"/>
      <c r="AK148" s="40"/>
      <c r="AL148" s="400"/>
      <c r="AM148" s="403"/>
      <c r="AN148" s="401"/>
      <c r="AO148" s="396"/>
      <c r="AP148" s="346"/>
      <c r="AQ148" s="346"/>
      <c r="AR148" s="1"/>
      <c r="AS148" s="1"/>
    </row>
    <row r="149" spans="1:45" ht="12.75">
      <c r="A149" s="291" t="s">
        <v>153</v>
      </c>
      <c r="B149" s="293">
        <v>2981000</v>
      </c>
      <c r="C149" s="294">
        <v>1.2739</v>
      </c>
      <c r="D149" s="606">
        <v>-0.15</v>
      </c>
      <c r="E149" s="294">
        <v>38.1</v>
      </c>
      <c r="F149" s="294">
        <v>1.44</v>
      </c>
      <c r="G149" s="300"/>
      <c r="H149" s="300"/>
      <c r="I149" s="293">
        <v>1681.5</v>
      </c>
      <c r="J149" s="294"/>
      <c r="K149" s="297">
        <v>1.297</v>
      </c>
      <c r="L149" s="297">
        <v>1.238</v>
      </c>
      <c r="M149" s="297">
        <v>1.162</v>
      </c>
      <c r="N149" s="297">
        <v>1.167</v>
      </c>
      <c r="O149" s="297">
        <v>0.951</v>
      </c>
      <c r="P149" s="297">
        <v>1.114</v>
      </c>
      <c r="Q149" s="363"/>
      <c r="R149" s="363"/>
      <c r="S149" s="363"/>
      <c r="T149" s="363"/>
      <c r="U149" s="363"/>
      <c r="V149" s="363"/>
      <c r="W149" s="363"/>
      <c r="X149" s="363"/>
      <c r="Y149" s="363"/>
      <c r="Z149" s="363"/>
      <c r="AA149" s="363"/>
      <c r="AB149" s="363"/>
      <c r="AC149" s="363"/>
      <c r="AD149" s="363"/>
      <c r="AE149" s="238"/>
      <c r="AF149" s="238"/>
      <c r="AG149" s="271"/>
      <c r="AH149" s="272"/>
      <c r="AI149" s="273"/>
      <c r="AJ149" s="40"/>
      <c r="AK149" s="40"/>
      <c r="AL149" s="400"/>
      <c r="AM149" s="403"/>
      <c r="AN149" s="401"/>
      <c r="AO149" s="396"/>
      <c r="AP149" s="346"/>
      <c r="AQ149" s="346"/>
      <c r="AR149" s="1"/>
      <c r="AS149" s="1"/>
    </row>
    <row r="150" spans="1:45" ht="12.75">
      <c r="A150" s="291" t="s">
        <v>21</v>
      </c>
      <c r="B150" s="293">
        <v>1264000</v>
      </c>
      <c r="C150" s="294">
        <v>2.0537</v>
      </c>
      <c r="D150" s="606">
        <v>-3</v>
      </c>
      <c r="E150" s="294">
        <v>74.12663295964435</v>
      </c>
      <c r="F150" s="294">
        <v>1.45</v>
      </c>
      <c r="G150" s="300"/>
      <c r="H150" s="300"/>
      <c r="I150" s="293">
        <v>9036.333333333334</v>
      </c>
      <c r="J150" s="294"/>
      <c r="K150" s="297">
        <v>2.943</v>
      </c>
      <c r="L150" s="297">
        <v>3.383</v>
      </c>
      <c r="M150" s="297">
        <v>2.977</v>
      </c>
      <c r="N150" s="297">
        <v>3.04</v>
      </c>
      <c r="O150" s="297">
        <v>3.205</v>
      </c>
      <c r="P150" s="297">
        <v>3.295</v>
      </c>
      <c r="Q150" s="363"/>
      <c r="R150" s="363"/>
      <c r="S150" s="363"/>
      <c r="T150" s="363"/>
      <c r="U150" s="363"/>
      <c r="V150" s="363"/>
      <c r="W150" s="363"/>
      <c r="X150" s="363"/>
      <c r="Y150" s="363"/>
      <c r="Z150" s="363"/>
      <c r="AA150" s="363"/>
      <c r="AB150" s="363"/>
      <c r="AC150" s="363"/>
      <c r="AD150" s="363"/>
      <c r="AE150" s="238"/>
      <c r="AF150" s="238"/>
      <c r="AG150" s="271"/>
      <c r="AH150" s="272"/>
      <c r="AI150" s="273"/>
      <c r="AJ150" s="40"/>
      <c r="AK150" s="40"/>
      <c r="AL150" s="400"/>
      <c r="AM150" s="403"/>
      <c r="AN150" s="401"/>
      <c r="AO150" s="396"/>
      <c r="AP150" s="346"/>
      <c r="AQ150" s="346"/>
      <c r="AR150" s="1"/>
      <c r="AS150" s="1"/>
    </row>
    <row r="151" spans="1:45" ht="12.75">
      <c r="A151" s="291" t="s">
        <v>52</v>
      </c>
      <c r="B151" s="293">
        <v>108701000</v>
      </c>
      <c r="C151" s="294">
        <v>3.6037</v>
      </c>
      <c r="D151" s="606">
        <v>-3.75</v>
      </c>
      <c r="E151" s="294">
        <v>72.3</v>
      </c>
      <c r="F151" s="294">
        <v>1.44</v>
      </c>
      <c r="G151" s="295">
        <v>0.017613858998703918</v>
      </c>
      <c r="H151" s="295">
        <v>0.02165726779575778</v>
      </c>
      <c r="I151" s="293">
        <v>10263.166666666666</v>
      </c>
      <c r="J151" s="294"/>
      <c r="K151" s="297">
        <v>3.833</v>
      </c>
      <c r="L151" s="297">
        <v>3.752</v>
      </c>
      <c r="M151" s="297">
        <v>3.754</v>
      </c>
      <c r="N151" s="297">
        <v>3.758</v>
      </c>
      <c r="O151" s="297">
        <v>3.602</v>
      </c>
      <c r="P151" s="297">
        <v>3.746</v>
      </c>
      <c r="Q151" s="363"/>
      <c r="R151" s="363"/>
      <c r="S151" s="363"/>
      <c r="T151" s="363"/>
      <c r="U151" s="363"/>
      <c r="V151" s="363"/>
      <c r="W151" s="363"/>
      <c r="X151" s="363"/>
      <c r="Y151" s="363"/>
      <c r="Z151" s="363"/>
      <c r="AA151" s="363"/>
      <c r="AB151" s="363"/>
      <c r="AC151" s="363"/>
      <c r="AD151" s="363"/>
      <c r="AE151" s="238"/>
      <c r="AF151" s="238"/>
      <c r="AG151" s="271"/>
      <c r="AH151" s="272"/>
      <c r="AI151" s="273"/>
      <c r="AJ151" s="40"/>
      <c r="AK151" s="40"/>
      <c r="AL151" s="400"/>
      <c r="AM151" s="403"/>
      <c r="AN151" s="401"/>
      <c r="AO151" s="396"/>
      <c r="AP151" s="346"/>
      <c r="AQ151" s="346"/>
      <c r="AR151" s="1"/>
      <c r="AS151" s="1"/>
    </row>
    <row r="152" spans="1:45" ht="12.75">
      <c r="A152" s="291" t="s">
        <v>88</v>
      </c>
      <c r="B152" s="293">
        <v>4329000</v>
      </c>
      <c r="C152" s="294">
        <v>2.48025</v>
      </c>
      <c r="D152" s="606">
        <v>1.95</v>
      </c>
      <c r="E152" s="294">
        <v>66.8</v>
      </c>
      <c r="F152" s="294">
        <v>0.83</v>
      </c>
      <c r="G152" s="300"/>
      <c r="H152" s="300"/>
      <c r="I152" s="293">
        <v>1869.8333333333333</v>
      </c>
      <c r="J152" s="294"/>
      <c r="K152" s="297">
        <v>1.341</v>
      </c>
      <c r="L152" s="297">
        <v>1.33</v>
      </c>
      <c r="M152" s="297">
        <v>1.452</v>
      </c>
      <c r="N152" s="297">
        <v>1.595</v>
      </c>
      <c r="O152" s="297">
        <v>1.506</v>
      </c>
      <c r="P152" s="297">
        <v>1.631</v>
      </c>
      <c r="Q152" s="363"/>
      <c r="R152" s="363"/>
      <c r="S152" s="363"/>
      <c r="T152" s="363"/>
      <c r="U152" s="363"/>
      <c r="V152" s="363"/>
      <c r="W152" s="363"/>
      <c r="X152" s="363"/>
      <c r="Y152" s="363"/>
      <c r="Z152" s="363"/>
      <c r="AA152" s="363"/>
      <c r="AB152" s="363"/>
      <c r="AC152" s="363"/>
      <c r="AD152" s="363"/>
      <c r="AE152" s="238"/>
      <c r="AF152" s="238"/>
      <c r="AG152" s="271"/>
      <c r="AH152" s="273"/>
      <c r="AI152" s="273"/>
      <c r="AJ152" s="40"/>
      <c r="AK152" s="40"/>
      <c r="AL152" s="400"/>
      <c r="AM152" s="403"/>
      <c r="AN152" s="401"/>
      <c r="AO152" s="396"/>
      <c r="AP152" s="346"/>
      <c r="AQ152" s="346"/>
      <c r="AR152" s="1"/>
      <c r="AS152" s="1"/>
    </row>
    <row r="153" spans="1:45" ht="12.75">
      <c r="A153" s="291" t="s">
        <v>136</v>
      </c>
      <c r="B153" s="293">
        <v>2952000</v>
      </c>
      <c r="C153" s="294">
        <v>3.3451</v>
      </c>
      <c r="D153" s="606">
        <v>-1.2</v>
      </c>
      <c r="E153" s="294">
        <v>58.45</v>
      </c>
      <c r="F153" s="294">
        <v>2.225</v>
      </c>
      <c r="G153" s="300"/>
      <c r="H153" s="300"/>
      <c r="I153" s="293">
        <v>2325.5</v>
      </c>
      <c r="J153" s="294"/>
      <c r="K153" s="297">
        <v>2.109</v>
      </c>
      <c r="L153" s="297">
        <v>2.121</v>
      </c>
      <c r="M153" s="297">
        <v>2.232</v>
      </c>
      <c r="N153" s="297">
        <v>2.087</v>
      </c>
      <c r="O153" s="297">
        <v>2.165</v>
      </c>
      <c r="P153" s="297">
        <v>2.237</v>
      </c>
      <c r="Q153" s="363"/>
      <c r="R153" s="363"/>
      <c r="S153" s="363"/>
      <c r="T153" s="363"/>
      <c r="U153" s="363"/>
      <c r="V153" s="363"/>
      <c r="W153" s="363"/>
      <c r="X153" s="363"/>
      <c r="Y153" s="363"/>
      <c r="Z153" s="363"/>
      <c r="AA153" s="363"/>
      <c r="AB153" s="363"/>
      <c r="AC153" s="363"/>
      <c r="AD153" s="363"/>
      <c r="AE153" s="238"/>
      <c r="AF153" s="238"/>
      <c r="AG153" s="271"/>
      <c r="AH153" s="272"/>
      <c r="AI153" s="273"/>
      <c r="AJ153" s="40"/>
      <c r="AK153" s="40"/>
      <c r="AL153" s="400"/>
      <c r="AM153" s="403"/>
      <c r="AN153" s="401"/>
      <c r="AO153" s="396"/>
      <c r="AP153" s="346"/>
      <c r="AQ153" s="346"/>
      <c r="AR153" s="1"/>
      <c r="AS153" s="1"/>
    </row>
    <row r="154" spans="1:45" ht="12.75">
      <c r="A154" s="291" t="s">
        <v>239</v>
      </c>
      <c r="B154" s="293">
        <v>685000</v>
      </c>
      <c r="C154" s="306"/>
      <c r="D154" s="608"/>
      <c r="E154" s="307"/>
      <c r="F154" s="305"/>
      <c r="G154" s="295"/>
      <c r="H154" s="303"/>
      <c r="I154" s="298">
        <v>7104</v>
      </c>
      <c r="J154" s="303"/>
      <c r="K154" s="306"/>
      <c r="L154" s="306"/>
      <c r="M154" s="306"/>
      <c r="N154" s="306"/>
      <c r="O154" s="306"/>
      <c r="P154" s="306"/>
      <c r="Q154" s="363"/>
      <c r="R154" s="363"/>
      <c r="S154" s="363"/>
      <c r="T154" s="363"/>
      <c r="U154" s="363"/>
      <c r="V154" s="363"/>
      <c r="W154" s="363"/>
      <c r="X154" s="363"/>
      <c r="Y154" s="363"/>
      <c r="Z154" s="363"/>
      <c r="AA154" s="363"/>
      <c r="AB154" s="363"/>
      <c r="AC154" s="363"/>
      <c r="AD154" s="363"/>
      <c r="AE154" s="238"/>
      <c r="AF154" s="238"/>
      <c r="AG154" s="271"/>
      <c r="AH154" s="273"/>
      <c r="AI154" s="273"/>
      <c r="AJ154" s="40"/>
      <c r="AK154" s="40"/>
      <c r="AL154" s="400"/>
      <c r="AM154" s="403"/>
      <c r="AN154" s="401"/>
      <c r="AO154" s="396"/>
      <c r="AP154" s="346"/>
      <c r="AQ154" s="346"/>
      <c r="AR154" s="1"/>
      <c r="AS154" s="1"/>
    </row>
    <row r="155" spans="1:45" ht="12.75">
      <c r="A155" s="291" t="s">
        <v>60</v>
      </c>
      <c r="B155" s="293">
        <v>30594000</v>
      </c>
      <c r="C155" s="294">
        <v>1.0409000000000002</v>
      </c>
      <c r="D155" s="606">
        <v>0.15</v>
      </c>
      <c r="E155" s="294">
        <v>68.1</v>
      </c>
      <c r="F155" s="294">
        <v>0.755</v>
      </c>
      <c r="G155" s="300"/>
      <c r="H155" s="300"/>
      <c r="I155" s="293">
        <v>3045.1666666666665</v>
      </c>
      <c r="J155" s="294"/>
      <c r="K155" s="297">
        <v>1.11</v>
      </c>
      <c r="L155" s="297">
        <v>1.185</v>
      </c>
      <c r="M155" s="297">
        <v>1.168</v>
      </c>
      <c r="N155" s="297">
        <v>1.18</v>
      </c>
      <c r="O155" s="297">
        <v>1.124</v>
      </c>
      <c r="P155" s="297">
        <v>1.157</v>
      </c>
      <c r="Q155" s="363"/>
      <c r="R155" s="363"/>
      <c r="S155" s="363"/>
      <c r="T155" s="363"/>
      <c r="U155" s="363"/>
      <c r="V155" s="363"/>
      <c r="W155" s="363"/>
      <c r="X155" s="363"/>
      <c r="Y155" s="363"/>
      <c r="Z155" s="363"/>
      <c r="AA155" s="363"/>
      <c r="AB155" s="363"/>
      <c r="AC155" s="363"/>
      <c r="AD155" s="363"/>
      <c r="AE155" s="238"/>
      <c r="AF155" s="238"/>
      <c r="AG155" s="271"/>
      <c r="AH155" s="272"/>
      <c r="AI155" s="273"/>
      <c r="AJ155" s="40"/>
      <c r="AK155" s="40"/>
      <c r="AL155" s="400"/>
      <c r="AM155" s="403"/>
      <c r="AN155" s="401"/>
      <c r="AO155" s="396"/>
      <c r="AP155" s="346"/>
      <c r="AQ155" s="346"/>
      <c r="AR155" s="1"/>
      <c r="AS155" s="1"/>
    </row>
    <row r="156" spans="1:45" ht="12.75">
      <c r="A156" s="291" t="s">
        <v>110</v>
      </c>
      <c r="B156" s="293">
        <v>20906000</v>
      </c>
      <c r="C156" s="294">
        <v>0.0794</v>
      </c>
      <c r="D156" s="606">
        <v>-6.3</v>
      </c>
      <c r="E156" s="294">
        <v>49.8</v>
      </c>
      <c r="F156" s="294">
        <v>0.64</v>
      </c>
      <c r="G156" s="300"/>
      <c r="H156" s="300"/>
      <c r="I156" s="293">
        <v>556.1666666666666</v>
      </c>
      <c r="J156" s="294"/>
      <c r="K156" s="297">
        <v>0.071</v>
      </c>
      <c r="L156" s="297">
        <v>0.081</v>
      </c>
      <c r="M156" s="297">
        <v>0.088</v>
      </c>
      <c r="N156" s="297">
        <v>0.094</v>
      </c>
      <c r="O156" s="297">
        <v>0.108</v>
      </c>
      <c r="P156" s="297">
        <v>0.117</v>
      </c>
      <c r="Q156" s="363"/>
      <c r="R156" s="363"/>
      <c r="S156" s="363"/>
      <c r="T156" s="363"/>
      <c r="U156" s="363"/>
      <c r="V156" s="363"/>
      <c r="W156" s="363"/>
      <c r="X156" s="363"/>
      <c r="Y156" s="363"/>
      <c r="Z156" s="363"/>
      <c r="AA156" s="363"/>
      <c r="AB156" s="363"/>
      <c r="AC156" s="363"/>
      <c r="AD156" s="363"/>
      <c r="AE156" s="238"/>
      <c r="AF156" s="238"/>
      <c r="AG156" s="271"/>
      <c r="AH156" s="272"/>
      <c r="AI156" s="273"/>
      <c r="AJ156" s="40"/>
      <c r="AK156" s="40"/>
      <c r="AL156" s="400"/>
      <c r="AM156" s="403"/>
      <c r="AN156" s="401"/>
      <c r="AO156" s="396"/>
      <c r="AP156" s="346"/>
      <c r="AQ156" s="346"/>
      <c r="AR156" s="1"/>
      <c r="AS156" s="1"/>
    </row>
    <row r="157" spans="1:45" ht="12.75">
      <c r="A157" s="291" t="s">
        <v>270</v>
      </c>
      <c r="B157" s="293">
        <v>51756000</v>
      </c>
      <c r="C157" s="294">
        <v>0.13809999999999997</v>
      </c>
      <c r="D157" s="606">
        <v>-13.35</v>
      </c>
      <c r="E157" s="301">
        <v>61.05</v>
      </c>
      <c r="F157" s="294">
        <v>0.95</v>
      </c>
      <c r="G157" s="295"/>
      <c r="H157" s="295"/>
      <c r="I157" s="293">
        <v>760.1666666666666</v>
      </c>
      <c r="J157" s="294"/>
      <c r="K157" s="297">
        <v>0.19</v>
      </c>
      <c r="L157" s="297">
        <v>0.181</v>
      </c>
      <c r="M157" s="297">
        <v>0.205</v>
      </c>
      <c r="N157" s="297">
        <v>0.224</v>
      </c>
      <c r="O157" s="297">
        <v>0.242</v>
      </c>
      <c r="P157" s="297">
        <v>0.305</v>
      </c>
      <c r="Q157" s="363"/>
      <c r="R157" s="363"/>
      <c r="S157" s="363"/>
      <c r="T157" s="363"/>
      <c r="U157" s="363"/>
      <c r="V157" s="363"/>
      <c r="W157" s="363"/>
      <c r="X157" s="363"/>
      <c r="Y157" s="363"/>
      <c r="Z157" s="363"/>
      <c r="AA157" s="363"/>
      <c r="AB157" s="363"/>
      <c r="AC157" s="363"/>
      <c r="AD157" s="363"/>
      <c r="AE157" s="238"/>
      <c r="AF157" s="238"/>
      <c r="AG157" s="271"/>
      <c r="AH157" s="272"/>
      <c r="AI157" s="273"/>
      <c r="AJ157" s="40"/>
      <c r="AK157" s="40"/>
      <c r="AL157" s="400"/>
      <c r="AM157" s="403"/>
      <c r="AN157" s="401"/>
      <c r="AO157" s="396"/>
      <c r="AP157" s="346"/>
      <c r="AQ157" s="346"/>
      <c r="AR157" s="1"/>
      <c r="AS157" s="1"/>
    </row>
    <row r="158" spans="1:45" ht="12.75">
      <c r="A158" s="291" t="s">
        <v>84</v>
      </c>
      <c r="B158" s="293">
        <v>2069000</v>
      </c>
      <c r="C158" s="294">
        <v>0.8924</v>
      </c>
      <c r="D158" s="606">
        <v>-1.95</v>
      </c>
      <c r="E158" s="294">
        <v>63.55</v>
      </c>
      <c r="F158" s="294">
        <v>1.91</v>
      </c>
      <c r="G158" s="300"/>
      <c r="H158" s="300"/>
      <c r="I158" s="293">
        <v>4472.5</v>
      </c>
      <c r="J158" s="294"/>
      <c r="K158" s="297">
        <v>0.955</v>
      </c>
      <c r="L158" s="297">
        <v>1.123</v>
      </c>
      <c r="M158" s="297">
        <v>1.132</v>
      </c>
      <c r="N158" s="297">
        <v>1.228</v>
      </c>
      <c r="O158" s="297">
        <v>1.28</v>
      </c>
      <c r="P158" s="297">
        <v>1.292</v>
      </c>
      <c r="Q158" s="363"/>
      <c r="R158" s="363"/>
      <c r="S158" s="363"/>
      <c r="T158" s="363"/>
      <c r="U158" s="363"/>
      <c r="V158" s="363"/>
      <c r="W158" s="363"/>
      <c r="X158" s="363"/>
      <c r="Y158" s="363"/>
      <c r="Z158" s="363"/>
      <c r="AA158" s="363"/>
      <c r="AB158" s="363"/>
      <c r="AC158" s="363"/>
      <c r="AD158" s="363"/>
      <c r="AE158" s="238"/>
      <c r="AF158" s="238"/>
      <c r="AG158" s="271"/>
      <c r="AH158" s="272"/>
      <c r="AI158" s="273"/>
      <c r="AJ158" s="40"/>
      <c r="AK158" s="40"/>
      <c r="AL158" s="400"/>
      <c r="AM158" s="403"/>
      <c r="AN158" s="401"/>
      <c r="AO158" s="396"/>
      <c r="AP158" s="346"/>
      <c r="AQ158" s="346"/>
      <c r="AR158" s="1"/>
      <c r="AS158" s="1"/>
    </row>
    <row r="159" spans="1:45" ht="12.75">
      <c r="A159" s="291" t="s">
        <v>48</v>
      </c>
      <c r="B159" s="293">
        <v>27828000</v>
      </c>
      <c r="C159" s="294">
        <v>0.0718</v>
      </c>
      <c r="D159" s="606">
        <v>-12.45</v>
      </c>
      <c r="E159" s="294">
        <v>66.15</v>
      </c>
      <c r="F159" s="294">
        <v>0.69</v>
      </c>
      <c r="G159" s="300"/>
      <c r="H159" s="300"/>
      <c r="I159" s="293">
        <v>866.8333333333334</v>
      </c>
      <c r="J159" s="294"/>
      <c r="K159" s="297">
        <v>0.125</v>
      </c>
      <c r="L159" s="297">
        <v>0.128</v>
      </c>
      <c r="M159" s="297">
        <v>0.103</v>
      </c>
      <c r="N159" s="297">
        <v>0.106</v>
      </c>
      <c r="O159" s="297">
        <v>0.104</v>
      </c>
      <c r="P159" s="297">
        <v>0.119</v>
      </c>
      <c r="Q159" s="363"/>
      <c r="R159" s="363"/>
      <c r="S159" s="363"/>
      <c r="T159" s="363"/>
      <c r="U159" s="363"/>
      <c r="V159" s="363"/>
      <c r="W159" s="363"/>
      <c r="X159" s="363"/>
      <c r="Y159" s="363"/>
      <c r="Z159" s="363"/>
      <c r="AA159" s="363"/>
      <c r="AB159" s="363"/>
      <c r="AC159" s="363"/>
      <c r="AD159" s="363"/>
      <c r="AE159" s="238"/>
      <c r="AF159" s="238"/>
      <c r="AG159" s="271"/>
      <c r="AH159" s="272"/>
      <c r="AI159" s="273"/>
      <c r="AJ159" s="40"/>
      <c r="AK159" s="40"/>
      <c r="AL159" s="400"/>
      <c r="AM159" s="403"/>
      <c r="AN159" s="401"/>
      <c r="AO159" s="396"/>
      <c r="AP159" s="346"/>
      <c r="AQ159" s="346"/>
      <c r="AR159" s="1"/>
      <c r="AS159" s="1"/>
    </row>
    <row r="160" spans="1:45" ht="12.75">
      <c r="A160" s="291" t="s">
        <v>55</v>
      </c>
      <c r="B160" s="293">
        <v>16571000</v>
      </c>
      <c r="C160" s="294">
        <v>14.6046</v>
      </c>
      <c r="D160" s="606">
        <v>0.9</v>
      </c>
      <c r="E160" s="294">
        <v>78.7</v>
      </c>
      <c r="F160" s="294">
        <v>1.64</v>
      </c>
      <c r="G160" s="295">
        <v>0.05596135721017908</v>
      </c>
      <c r="H160" s="295">
        <v>0.05657473900187074</v>
      </c>
      <c r="I160" s="293">
        <v>32019</v>
      </c>
      <c r="J160" s="294"/>
      <c r="K160" s="299">
        <v>15.481</v>
      </c>
      <c r="L160" s="299">
        <v>16.325</v>
      </c>
      <c r="M160" s="299">
        <v>15.766</v>
      </c>
      <c r="N160" s="299">
        <v>15.879</v>
      </c>
      <c r="O160" s="299">
        <v>16.212</v>
      </c>
      <c r="P160" s="299">
        <v>16.363</v>
      </c>
      <c r="Q160" s="363"/>
      <c r="R160" s="363"/>
      <c r="S160" s="363"/>
      <c r="T160" s="363"/>
      <c r="U160" s="363"/>
      <c r="V160" s="363"/>
      <c r="W160" s="363"/>
      <c r="X160" s="363"/>
      <c r="Y160" s="363"/>
      <c r="Z160" s="363"/>
      <c r="AA160" s="363"/>
      <c r="AB160" s="363"/>
      <c r="AC160" s="363"/>
      <c r="AD160" s="363"/>
      <c r="AE160" s="238"/>
      <c r="AF160" s="238"/>
      <c r="AG160" s="271"/>
      <c r="AH160" s="272"/>
      <c r="AI160" s="273"/>
      <c r="AJ160" s="40"/>
      <c r="AK160" s="40"/>
      <c r="AL160" s="400"/>
      <c r="AM160" s="403"/>
      <c r="AN160" s="401"/>
      <c r="AO160" s="396"/>
      <c r="AP160" s="346"/>
      <c r="AQ160" s="346"/>
      <c r="AR160" s="1"/>
      <c r="AS160" s="1"/>
    </row>
    <row r="161" spans="1:45" ht="12.75">
      <c r="A161" s="291" t="s">
        <v>159</v>
      </c>
      <c r="B161" s="293">
        <v>224000</v>
      </c>
      <c r="C161" s="294">
        <v>53.42819999999999</v>
      </c>
      <c r="D161" s="606">
        <v>0</v>
      </c>
      <c r="E161" s="305"/>
      <c r="F161" s="305"/>
      <c r="G161" s="295"/>
      <c r="H161" s="295"/>
      <c r="I161" s="308"/>
      <c r="J161" s="294"/>
      <c r="K161" s="299">
        <v>55.273</v>
      </c>
      <c r="L161" s="299">
        <v>55.157</v>
      </c>
      <c r="M161" s="299">
        <v>50.335</v>
      </c>
      <c r="N161" s="299">
        <v>49.801</v>
      </c>
      <c r="O161" s="299">
        <v>49.897</v>
      </c>
      <c r="P161" s="299">
        <v>49.14</v>
      </c>
      <c r="Q161" s="363"/>
      <c r="R161" s="363"/>
      <c r="S161" s="363"/>
      <c r="T161" s="363"/>
      <c r="U161" s="363"/>
      <c r="V161" s="363"/>
      <c r="W161" s="363"/>
      <c r="X161" s="363"/>
      <c r="Y161" s="363"/>
      <c r="Z161" s="363"/>
      <c r="AA161" s="363"/>
      <c r="AB161" s="363"/>
      <c r="AC161" s="363"/>
      <c r="AD161" s="363"/>
      <c r="AE161" s="238"/>
      <c r="AF161" s="238"/>
      <c r="AG161" s="271"/>
      <c r="AH161" s="272"/>
      <c r="AI161" s="273"/>
      <c r="AJ161" s="40"/>
      <c r="AK161" s="40"/>
      <c r="AL161" s="400"/>
      <c r="AM161" s="403"/>
      <c r="AN161" s="401"/>
      <c r="AO161" s="396"/>
      <c r="AP161" s="346"/>
      <c r="AQ161" s="346"/>
      <c r="AR161" s="1"/>
      <c r="AS161" s="1"/>
    </row>
    <row r="162" spans="1:45" ht="12.75">
      <c r="A162" s="291" t="s">
        <v>162</v>
      </c>
      <c r="B162" s="293">
        <v>240000</v>
      </c>
      <c r="C162" s="294">
        <v>9.1074</v>
      </c>
      <c r="D162" s="606">
        <v>0</v>
      </c>
      <c r="E162" s="305"/>
      <c r="F162" s="305"/>
      <c r="G162" s="295"/>
      <c r="H162" s="295"/>
      <c r="I162" s="308"/>
      <c r="J162" s="294"/>
      <c r="K162" s="297">
        <v>9.466</v>
      </c>
      <c r="L162" s="297">
        <v>9.341</v>
      </c>
      <c r="M162" s="297">
        <v>10.448</v>
      </c>
      <c r="N162" s="297">
        <v>10.639</v>
      </c>
      <c r="O162" s="297">
        <v>11.169</v>
      </c>
      <c r="P162" s="297">
        <v>10.688</v>
      </c>
      <c r="Q162" s="363"/>
      <c r="R162" s="363"/>
      <c r="S162" s="363"/>
      <c r="T162" s="363"/>
      <c r="U162" s="363"/>
      <c r="V162" s="363"/>
      <c r="W162" s="363"/>
      <c r="X162" s="363"/>
      <c r="Y162" s="363"/>
      <c r="Z162" s="363"/>
      <c r="AA162" s="363"/>
      <c r="AB162" s="363"/>
      <c r="AC162" s="363"/>
      <c r="AD162" s="363"/>
      <c r="AE162" s="238"/>
      <c r="AF162" s="238"/>
      <c r="AG162" s="271"/>
      <c r="AH162" s="272"/>
      <c r="AI162" s="273"/>
      <c r="AJ162" s="40"/>
      <c r="AK162" s="40"/>
      <c r="AL162" s="400"/>
      <c r="AM162" s="403"/>
      <c r="AN162" s="401"/>
      <c r="AO162" s="396"/>
      <c r="AP162" s="346"/>
      <c r="AQ162" s="346"/>
      <c r="AR162" s="1"/>
      <c r="AS162" s="1"/>
    </row>
    <row r="163" spans="1:45" ht="12.75">
      <c r="A163" s="291" t="s">
        <v>10</v>
      </c>
      <c r="B163" s="293">
        <v>4130000</v>
      </c>
      <c r="C163" s="294">
        <v>8.721799999999998</v>
      </c>
      <c r="D163" s="606">
        <v>3.3</v>
      </c>
      <c r="E163" s="294">
        <v>88.45</v>
      </c>
      <c r="F163" s="294">
        <v>4.89</v>
      </c>
      <c r="G163" s="300"/>
      <c r="H163" s="300"/>
      <c r="I163" s="293">
        <v>23256.666666666668</v>
      </c>
      <c r="J163" s="294"/>
      <c r="K163" s="297">
        <v>9.198</v>
      </c>
      <c r="L163" s="297">
        <v>9.801</v>
      </c>
      <c r="M163" s="297">
        <v>9.77</v>
      </c>
      <c r="N163" s="297">
        <v>9.951</v>
      </c>
      <c r="O163" s="297">
        <v>9.811</v>
      </c>
      <c r="P163" s="297">
        <v>9.957</v>
      </c>
      <c r="Q163" s="363"/>
      <c r="R163" s="363"/>
      <c r="S163" s="363"/>
      <c r="T163" s="363"/>
      <c r="U163" s="363"/>
      <c r="V163" s="363"/>
      <c r="W163" s="363"/>
      <c r="X163" s="363"/>
      <c r="Y163" s="363"/>
      <c r="Z163" s="363"/>
      <c r="AA163" s="363"/>
      <c r="AB163" s="363"/>
      <c r="AC163" s="363"/>
      <c r="AD163" s="363"/>
      <c r="AE163" s="238"/>
      <c r="AF163" s="238"/>
      <c r="AG163" s="271"/>
      <c r="AH163" s="272"/>
      <c r="AI163" s="273"/>
      <c r="AJ163" s="40"/>
      <c r="AK163" s="40"/>
      <c r="AL163" s="400"/>
      <c r="AM163" s="403"/>
      <c r="AN163" s="401"/>
      <c r="AO163" s="396"/>
      <c r="AP163" s="346"/>
      <c r="AQ163" s="346"/>
      <c r="AR163" s="1"/>
      <c r="AS163" s="1"/>
    </row>
    <row r="164" spans="1:45" ht="12.75">
      <c r="A164" s="291" t="s">
        <v>94</v>
      </c>
      <c r="B164" s="293">
        <v>5680000</v>
      </c>
      <c r="C164" s="294">
        <v>0.6221000000000002</v>
      </c>
      <c r="D164" s="606">
        <v>-13.05</v>
      </c>
      <c r="E164" s="294">
        <v>71.3</v>
      </c>
      <c r="F164" s="294">
        <v>1.25</v>
      </c>
      <c r="G164" s="300"/>
      <c r="H164" s="300"/>
      <c r="I164" s="293">
        <v>2071.8333333333335</v>
      </c>
      <c r="J164" s="294"/>
      <c r="K164" s="297">
        <v>0.75</v>
      </c>
      <c r="L164" s="297">
        <v>0.782</v>
      </c>
      <c r="M164" s="297">
        <v>0.787</v>
      </c>
      <c r="N164" s="297">
        <v>0.782</v>
      </c>
      <c r="O164" s="297">
        <v>0.825</v>
      </c>
      <c r="P164" s="297">
        <v>0.84</v>
      </c>
      <c r="Q164" s="363"/>
      <c r="R164" s="363"/>
      <c r="S164" s="363"/>
      <c r="T164" s="363"/>
      <c r="U164" s="363"/>
      <c r="V164" s="363"/>
      <c r="W164" s="363"/>
      <c r="X164" s="363"/>
      <c r="Y164" s="363"/>
      <c r="Z164" s="363"/>
      <c r="AA164" s="363"/>
      <c r="AB164" s="363"/>
      <c r="AC164" s="363"/>
      <c r="AD164" s="363"/>
      <c r="AE164" s="238"/>
      <c r="AF164" s="238"/>
      <c r="AG164" s="271"/>
      <c r="AH164" s="272"/>
      <c r="AI164" s="273"/>
      <c r="AJ164" s="40"/>
      <c r="AK164" s="40"/>
      <c r="AL164" s="400"/>
      <c r="AM164" s="403"/>
      <c r="AN164" s="401"/>
      <c r="AO164" s="396"/>
      <c r="AP164" s="346"/>
      <c r="AQ164" s="346"/>
      <c r="AR164" s="1"/>
      <c r="AS164" s="1"/>
    </row>
    <row r="165" spans="1:45" ht="12.75">
      <c r="A165" s="291" t="s">
        <v>150</v>
      </c>
      <c r="B165" s="293">
        <v>14215000</v>
      </c>
      <c r="C165" s="294">
        <v>0.1254</v>
      </c>
      <c r="D165" s="606">
        <v>-0.75</v>
      </c>
      <c r="E165" s="294">
        <v>32.4</v>
      </c>
      <c r="F165" s="294">
        <v>1.305</v>
      </c>
      <c r="G165" s="300"/>
      <c r="H165" s="300"/>
      <c r="I165" s="293">
        <v>573</v>
      </c>
      <c r="J165" s="294"/>
      <c r="K165" s="297">
        <v>0.103</v>
      </c>
      <c r="L165" s="297">
        <v>0.101</v>
      </c>
      <c r="M165" s="297">
        <v>0.104</v>
      </c>
      <c r="N165" s="297">
        <v>0.103</v>
      </c>
      <c r="O165" s="297">
        <v>0.102</v>
      </c>
      <c r="P165" s="297">
        <v>0.095</v>
      </c>
      <c r="Q165" s="363"/>
      <c r="R165" s="363"/>
      <c r="S165" s="363"/>
      <c r="T165" s="363"/>
      <c r="U165" s="363"/>
      <c r="V165" s="363"/>
      <c r="W165" s="363"/>
      <c r="X165" s="363"/>
      <c r="Y165" s="363"/>
      <c r="Z165" s="363"/>
      <c r="AA165" s="363"/>
      <c r="AB165" s="363"/>
      <c r="AC165" s="363"/>
      <c r="AD165" s="363"/>
      <c r="AE165" s="238"/>
      <c r="AF165" s="238"/>
      <c r="AG165" s="271"/>
      <c r="AH165" s="272"/>
      <c r="AI165" s="273"/>
      <c r="AJ165" s="40"/>
      <c r="AK165" s="40"/>
      <c r="AL165" s="400"/>
      <c r="AM165" s="403"/>
      <c r="AN165" s="401"/>
      <c r="AO165" s="396"/>
      <c r="AP165" s="346"/>
      <c r="AQ165" s="346"/>
      <c r="AR165" s="1"/>
      <c r="AS165" s="1"/>
    </row>
    <row r="166" spans="1:45" ht="12.75">
      <c r="A166" s="291" t="s">
        <v>146</v>
      </c>
      <c r="B166" s="293">
        <v>143312000</v>
      </c>
      <c r="C166" s="294">
        <v>0.8577999999999999</v>
      </c>
      <c r="D166" s="606">
        <v>-10.05</v>
      </c>
      <c r="E166" s="294">
        <v>50.35</v>
      </c>
      <c r="F166" s="294">
        <v>1.08</v>
      </c>
      <c r="G166" s="300"/>
      <c r="H166" s="300"/>
      <c r="I166" s="293">
        <v>1478.8333333333333</v>
      </c>
      <c r="J166" s="294"/>
      <c r="K166" s="297">
        <v>0.656</v>
      </c>
      <c r="L166" s="297">
        <v>0.726</v>
      </c>
      <c r="M166" s="297">
        <v>0.706</v>
      </c>
      <c r="N166" s="297">
        <v>0.704</v>
      </c>
      <c r="O166" s="297">
        <v>0.685</v>
      </c>
      <c r="P166" s="297">
        <v>0.783</v>
      </c>
      <c r="Q166" s="363"/>
      <c r="R166" s="363"/>
      <c r="S166" s="363"/>
      <c r="T166" s="363"/>
      <c r="U166" s="363"/>
      <c r="V166" s="363"/>
      <c r="W166" s="363"/>
      <c r="X166" s="363"/>
      <c r="Y166" s="363"/>
      <c r="Z166" s="363"/>
      <c r="AA166" s="363"/>
      <c r="AB166" s="363"/>
      <c r="AC166" s="363"/>
      <c r="AD166" s="363"/>
      <c r="AE166" s="238"/>
      <c r="AF166" s="238"/>
      <c r="AG166" s="271"/>
      <c r="AH166" s="272"/>
      <c r="AI166" s="273"/>
      <c r="AJ166" s="40"/>
      <c r="AK166" s="40"/>
      <c r="AL166" s="400"/>
      <c r="AM166" s="403"/>
      <c r="AN166" s="401"/>
      <c r="AO166" s="396"/>
      <c r="AP166" s="346"/>
      <c r="AQ166" s="346"/>
      <c r="AR166" s="1"/>
      <c r="AS166" s="1"/>
    </row>
    <row r="167" spans="1:45" ht="12.75">
      <c r="A167" s="291" t="s">
        <v>140</v>
      </c>
      <c r="B167" s="293">
        <v>22454000</v>
      </c>
      <c r="C167" s="294">
        <v>4.233500000000001</v>
      </c>
      <c r="D167" s="606">
        <v>-23.7</v>
      </c>
      <c r="E167" s="294">
        <v>48.72884938268975</v>
      </c>
      <c r="F167" s="294">
        <v>0.61</v>
      </c>
      <c r="G167" s="295"/>
      <c r="H167" s="295"/>
      <c r="I167" s="308"/>
      <c r="J167" s="294"/>
      <c r="K167" s="297">
        <v>3.264</v>
      </c>
      <c r="L167" s="297">
        <v>3.308</v>
      </c>
      <c r="M167" s="297">
        <v>3.15</v>
      </c>
      <c r="N167" s="297">
        <v>3.196</v>
      </c>
      <c r="O167" s="297">
        <v>3.247</v>
      </c>
      <c r="P167" s="297">
        <v>3.363</v>
      </c>
      <c r="Q167" s="363"/>
      <c r="R167" s="363"/>
      <c r="S167" s="363"/>
      <c r="T167" s="363"/>
      <c r="U167" s="363"/>
      <c r="V167" s="363"/>
      <c r="W167" s="363"/>
      <c r="X167" s="363"/>
      <c r="Y167" s="363"/>
      <c r="Z167" s="363"/>
      <c r="AA167" s="363"/>
      <c r="AB167" s="363"/>
      <c r="AC167" s="363"/>
      <c r="AD167" s="363"/>
      <c r="AE167" s="238"/>
      <c r="AF167" s="238"/>
      <c r="AG167" s="271"/>
      <c r="AH167" s="272"/>
      <c r="AI167" s="273"/>
      <c r="AJ167" s="40"/>
      <c r="AK167" s="40"/>
      <c r="AL167" s="400"/>
      <c r="AM167" s="403"/>
      <c r="AN167" s="401"/>
      <c r="AO167" s="396"/>
      <c r="AP167" s="346"/>
      <c r="AQ167" s="346"/>
      <c r="AR167" s="1"/>
      <c r="AS167" s="1"/>
    </row>
    <row r="168" spans="1:45" ht="12.75">
      <c r="A168" s="291" t="s">
        <v>20</v>
      </c>
      <c r="B168" s="293">
        <v>4628000</v>
      </c>
      <c r="C168" s="294">
        <v>8.696200000000001</v>
      </c>
      <c r="D168" s="606">
        <v>2.7</v>
      </c>
      <c r="E168" s="294">
        <v>86.65</v>
      </c>
      <c r="F168" s="294">
        <v>4.585</v>
      </c>
      <c r="G168" s="300"/>
      <c r="H168" s="300"/>
      <c r="I168" s="293">
        <v>39772.666666666664</v>
      </c>
      <c r="J168" s="294"/>
      <c r="K168" s="299">
        <v>9.182</v>
      </c>
      <c r="L168" s="299">
        <v>9.196</v>
      </c>
      <c r="M168" s="299">
        <v>9.288</v>
      </c>
      <c r="N168" s="299">
        <v>9.972</v>
      </c>
      <c r="O168" s="299">
        <v>10.519</v>
      </c>
      <c r="P168" s="299">
        <v>9.157</v>
      </c>
      <c r="Q168" s="363"/>
      <c r="R168" s="363"/>
      <c r="S168" s="363"/>
      <c r="T168" s="363"/>
      <c r="U168" s="363"/>
      <c r="V168" s="363"/>
      <c r="W168" s="363"/>
      <c r="X168" s="363"/>
      <c r="Y168" s="363"/>
      <c r="Z168" s="363"/>
      <c r="AA168" s="363"/>
      <c r="AB168" s="363"/>
      <c r="AC168" s="363"/>
      <c r="AD168" s="363"/>
      <c r="AE168" s="238"/>
      <c r="AF168" s="238"/>
      <c r="AG168" s="271"/>
      <c r="AH168" s="272"/>
      <c r="AI168" s="273"/>
      <c r="AJ168" s="40"/>
      <c r="AK168" s="40"/>
      <c r="AL168" s="400"/>
      <c r="AM168" s="403"/>
      <c r="AN168" s="401"/>
      <c r="AO168" s="396"/>
      <c r="AP168" s="346"/>
      <c r="AQ168" s="346"/>
      <c r="AR168" s="1"/>
      <c r="AS168" s="1"/>
    </row>
    <row r="169" spans="1:45" ht="12.75">
      <c r="A169" s="291" t="s">
        <v>197</v>
      </c>
      <c r="B169" s="293">
        <v>3803000</v>
      </c>
      <c r="C169" s="294">
        <v>0.16399999999999998</v>
      </c>
      <c r="D169" s="608"/>
      <c r="E169" s="305"/>
      <c r="F169" s="294">
        <v>0.41137321937725124</v>
      </c>
      <c r="G169" s="295"/>
      <c r="H169" s="295"/>
      <c r="I169" s="293">
        <v>2385.3333333333335</v>
      </c>
      <c r="J169" s="294"/>
      <c r="K169" s="297">
        <v>0.202</v>
      </c>
      <c r="L169" s="297">
        <v>0.39</v>
      </c>
      <c r="M169" s="297">
        <v>0.317</v>
      </c>
      <c r="N169" s="297">
        <v>0.347</v>
      </c>
      <c r="O169" s="297">
        <v>0.599</v>
      </c>
      <c r="P169" s="297">
        <v>0.738</v>
      </c>
      <c r="Q169" s="363"/>
      <c r="R169" s="363"/>
      <c r="S169" s="363"/>
      <c r="T169" s="363"/>
      <c r="U169" s="363"/>
      <c r="V169" s="363"/>
      <c r="W169" s="363"/>
      <c r="X169" s="363"/>
      <c r="Y169" s="363"/>
      <c r="Z169" s="363"/>
      <c r="AA169" s="363"/>
      <c r="AB169" s="363"/>
      <c r="AC169" s="363"/>
      <c r="AD169" s="363"/>
      <c r="AE169" s="238"/>
      <c r="AF169" s="238"/>
      <c r="AG169" s="271"/>
      <c r="AH169" s="272"/>
      <c r="AI169" s="273"/>
      <c r="AJ169" s="40"/>
      <c r="AK169" s="40"/>
      <c r="AL169" s="400"/>
      <c r="AM169" s="403"/>
      <c r="AN169" s="401"/>
      <c r="AO169" s="396"/>
      <c r="AP169" s="346"/>
      <c r="AQ169" s="346"/>
      <c r="AR169" s="1"/>
      <c r="AS169" s="1"/>
    </row>
    <row r="170" spans="1:45" ht="12.75">
      <c r="A170" s="291" t="s">
        <v>11</v>
      </c>
      <c r="B170" s="293">
        <v>2800000</v>
      </c>
      <c r="C170" s="294">
        <v>7.5372</v>
      </c>
      <c r="D170" s="606">
        <v>-1.2</v>
      </c>
      <c r="E170" s="294">
        <v>69.1</v>
      </c>
      <c r="F170" s="294">
        <v>1.2586107792899932</v>
      </c>
      <c r="G170" s="300"/>
      <c r="H170" s="300"/>
      <c r="I170" s="298">
        <v>19066.5</v>
      </c>
      <c r="J170" s="294"/>
      <c r="K170" s="297">
        <v>8.959</v>
      </c>
      <c r="L170" s="297">
        <v>8.927</v>
      </c>
      <c r="M170" s="297">
        <v>9.046</v>
      </c>
      <c r="N170" s="297">
        <v>8.661</v>
      </c>
      <c r="O170" s="297">
        <v>9.207</v>
      </c>
      <c r="P170" s="297">
        <v>11.377</v>
      </c>
      <c r="Q170" s="363"/>
      <c r="R170" s="363"/>
      <c r="S170" s="363"/>
      <c r="T170" s="363"/>
      <c r="U170" s="363"/>
      <c r="V170" s="363"/>
      <c r="W170" s="363"/>
      <c r="X170" s="363"/>
      <c r="Y170" s="363"/>
      <c r="Z170" s="363"/>
      <c r="AA170" s="363"/>
      <c r="AB170" s="363"/>
      <c r="AC170" s="363"/>
      <c r="AD170" s="363"/>
      <c r="AE170" s="238"/>
      <c r="AF170" s="238"/>
      <c r="AG170" s="271"/>
      <c r="AH170" s="272"/>
      <c r="AI170" s="273"/>
      <c r="AJ170" s="40"/>
      <c r="AK170" s="40"/>
      <c r="AL170" s="400"/>
      <c r="AM170" s="403"/>
      <c r="AN170" s="401"/>
      <c r="AO170" s="396"/>
      <c r="AP170" s="346"/>
      <c r="AQ170" s="346"/>
      <c r="AR170" s="1"/>
      <c r="AS170" s="1"/>
    </row>
    <row r="171" spans="1:45" ht="12.75">
      <c r="A171" s="291" t="s">
        <v>120</v>
      </c>
      <c r="B171" s="293">
        <v>175495000</v>
      </c>
      <c r="C171" s="294">
        <v>0.6366</v>
      </c>
      <c r="D171" s="606">
        <v>-9.6</v>
      </c>
      <c r="E171" s="294">
        <v>49.9</v>
      </c>
      <c r="F171" s="294">
        <v>0.445</v>
      </c>
      <c r="G171" s="295">
        <v>0.0006750735830205493</v>
      </c>
      <c r="H171" s="295">
        <v>0.002421721416564575</v>
      </c>
      <c r="I171" s="293">
        <v>1823.6666666666667</v>
      </c>
      <c r="J171" s="294"/>
      <c r="K171" s="297">
        <v>0.715</v>
      </c>
      <c r="L171" s="297">
        <v>0.664</v>
      </c>
      <c r="M171" s="297">
        <v>0.646</v>
      </c>
      <c r="N171" s="297">
        <v>0.646</v>
      </c>
      <c r="O171" s="297">
        <v>0.668</v>
      </c>
      <c r="P171" s="297">
        <v>0.694</v>
      </c>
      <c r="Q171" s="363"/>
      <c r="R171" s="363"/>
      <c r="S171" s="363"/>
      <c r="T171" s="363"/>
      <c r="U171" s="363"/>
      <c r="V171" s="363"/>
      <c r="W171" s="363"/>
      <c r="X171" s="363"/>
      <c r="Y171" s="363"/>
      <c r="Z171" s="363"/>
      <c r="AA171" s="363"/>
      <c r="AB171" s="363"/>
      <c r="AC171" s="363"/>
      <c r="AD171" s="363"/>
      <c r="AE171" s="238"/>
      <c r="AF171" s="238"/>
      <c r="AG171" s="271"/>
      <c r="AH171" s="272"/>
      <c r="AI171" s="273"/>
      <c r="AJ171" s="40"/>
      <c r="AK171" s="40"/>
      <c r="AL171" s="400"/>
      <c r="AM171" s="403"/>
      <c r="AN171" s="401"/>
      <c r="AO171" s="396"/>
      <c r="AP171" s="346"/>
      <c r="AQ171" s="346"/>
      <c r="AR171" s="1"/>
      <c r="AS171" s="1"/>
    </row>
    <row r="172" spans="1:45" ht="12.75">
      <c r="A172" s="291" t="s">
        <v>36</v>
      </c>
      <c r="B172" s="293">
        <v>3258000</v>
      </c>
      <c r="C172" s="294">
        <v>4.9</v>
      </c>
      <c r="D172" s="606">
        <v>-6.9</v>
      </c>
      <c r="E172" s="294">
        <v>79.8</v>
      </c>
      <c r="F172" s="294">
        <v>1.65</v>
      </c>
      <c r="G172" s="300"/>
      <c r="H172" s="300"/>
      <c r="I172" s="293">
        <v>7874.333333333333</v>
      </c>
      <c r="J172" s="294"/>
      <c r="K172" s="299">
        <v>4.462</v>
      </c>
      <c r="L172" s="299">
        <v>4.558</v>
      </c>
      <c r="M172" s="299">
        <v>4.222</v>
      </c>
      <c r="N172" s="299">
        <v>4.13</v>
      </c>
      <c r="O172" s="299">
        <v>4.559</v>
      </c>
      <c r="P172" s="299">
        <v>4.372</v>
      </c>
      <c r="Q172" s="363"/>
      <c r="R172" s="363"/>
      <c r="S172" s="363"/>
      <c r="T172" s="363"/>
      <c r="U172" s="363"/>
      <c r="V172" s="363"/>
      <c r="W172" s="363"/>
      <c r="X172" s="363"/>
      <c r="Y172" s="363"/>
      <c r="Z172" s="363"/>
      <c r="AA172" s="363"/>
      <c r="AB172" s="363"/>
      <c r="AC172" s="363"/>
      <c r="AD172" s="363"/>
      <c r="AE172" s="238"/>
      <c r="AF172" s="238"/>
      <c r="AG172" s="271"/>
      <c r="AH172" s="272"/>
      <c r="AI172" s="273"/>
      <c r="AJ172" s="40"/>
      <c r="AK172" s="40"/>
      <c r="AL172" s="400"/>
      <c r="AM172" s="403"/>
      <c r="AN172" s="401"/>
      <c r="AO172" s="396"/>
      <c r="AP172" s="346"/>
      <c r="AQ172" s="346"/>
      <c r="AR172" s="1"/>
      <c r="AS172" s="1"/>
    </row>
    <row r="173" spans="1:45" ht="12.75">
      <c r="A173" s="291" t="s">
        <v>132</v>
      </c>
      <c r="B173" s="293">
        <v>5691000</v>
      </c>
      <c r="C173" s="294">
        <v>0.6193000000000001</v>
      </c>
      <c r="D173" s="606">
        <v>0</v>
      </c>
      <c r="E173" s="294">
        <v>60.15</v>
      </c>
      <c r="F173" s="294">
        <v>1.54</v>
      </c>
      <c r="G173" s="300"/>
      <c r="H173" s="300"/>
      <c r="I173" s="293">
        <v>1756.3333333333333</v>
      </c>
      <c r="J173" s="294"/>
      <c r="K173" s="297">
        <v>0.54</v>
      </c>
      <c r="L173" s="297">
        <v>0.527</v>
      </c>
      <c r="M173" s="297">
        <v>0.729</v>
      </c>
      <c r="N173" s="297">
        <v>0.823</v>
      </c>
      <c r="O173" s="297">
        <v>0.811</v>
      </c>
      <c r="P173" s="297">
        <v>0.779</v>
      </c>
      <c r="Q173" s="363"/>
      <c r="R173" s="363"/>
      <c r="S173" s="363"/>
      <c r="T173" s="363"/>
      <c r="U173" s="363"/>
      <c r="V173" s="363"/>
      <c r="W173" s="363"/>
      <c r="X173" s="363"/>
      <c r="Y173" s="363"/>
      <c r="Z173" s="363"/>
      <c r="AA173" s="363"/>
      <c r="AB173" s="363"/>
      <c r="AC173" s="363"/>
      <c r="AD173" s="363"/>
      <c r="AE173" s="238"/>
      <c r="AF173" s="238"/>
      <c r="AG173" s="271"/>
      <c r="AH173" s="272"/>
      <c r="AI173" s="273"/>
      <c r="AJ173" s="40"/>
      <c r="AK173" s="40"/>
      <c r="AL173" s="400"/>
      <c r="AM173" s="403"/>
      <c r="AN173" s="401"/>
      <c r="AO173" s="396"/>
      <c r="AP173" s="346"/>
      <c r="AQ173" s="346"/>
      <c r="AR173" s="1"/>
      <c r="AS173" s="1"/>
    </row>
    <row r="174" spans="1:45" ht="12.75">
      <c r="A174" s="291" t="s">
        <v>67</v>
      </c>
      <c r="B174" s="293">
        <v>6113000</v>
      </c>
      <c r="C174" s="294">
        <v>0.5858</v>
      </c>
      <c r="D174" s="606">
        <v>-10.2</v>
      </c>
      <c r="E174" s="294">
        <v>72.05</v>
      </c>
      <c r="F174" s="294">
        <v>2.27</v>
      </c>
      <c r="G174" s="300"/>
      <c r="H174" s="300"/>
      <c r="I174" s="293">
        <v>3571.3333333333335</v>
      </c>
      <c r="J174" s="294"/>
      <c r="K174" s="297">
        <v>0.657</v>
      </c>
      <c r="L174" s="297">
        <v>0.625</v>
      </c>
      <c r="M174" s="297">
        <v>0.639</v>
      </c>
      <c r="N174" s="297">
        <v>0.652</v>
      </c>
      <c r="O174" s="297">
        <v>0.644</v>
      </c>
      <c r="P174" s="297">
        <v>0.623</v>
      </c>
      <c r="Q174" s="363"/>
      <c r="R174" s="363"/>
      <c r="S174" s="363"/>
      <c r="T174" s="363"/>
      <c r="U174" s="363"/>
      <c r="V174" s="363"/>
      <c r="W174" s="363"/>
      <c r="X174" s="363"/>
      <c r="Y174" s="363"/>
      <c r="Z174" s="363"/>
      <c r="AA174" s="363"/>
      <c r="AB174" s="363"/>
      <c r="AC174" s="363"/>
      <c r="AD174" s="363"/>
      <c r="AE174" s="238"/>
      <c r="AF174" s="238"/>
      <c r="AG174" s="271"/>
      <c r="AH174" s="272"/>
      <c r="AI174" s="273"/>
      <c r="AJ174" s="40"/>
      <c r="AK174" s="40"/>
      <c r="AL174" s="400"/>
      <c r="AM174" s="403"/>
      <c r="AN174" s="401"/>
      <c r="AO174" s="396"/>
      <c r="AP174" s="346"/>
      <c r="AQ174" s="346"/>
      <c r="AR174" s="1"/>
      <c r="AS174" s="1"/>
    </row>
    <row r="175" spans="1:45" ht="12.75">
      <c r="A175" s="291" t="s">
        <v>41</v>
      </c>
      <c r="B175" s="293">
        <v>28809000</v>
      </c>
      <c r="C175" s="294">
        <v>0.9812999999999998</v>
      </c>
      <c r="D175" s="606">
        <v>-1.65</v>
      </c>
      <c r="E175" s="294">
        <v>71.75</v>
      </c>
      <c r="F175" s="294">
        <v>1.14</v>
      </c>
      <c r="G175" s="300"/>
      <c r="H175" s="300"/>
      <c r="I175" s="293">
        <v>5472.5</v>
      </c>
      <c r="J175" s="294"/>
      <c r="K175" s="297">
        <v>1.032</v>
      </c>
      <c r="L175" s="297">
        <v>0.985</v>
      </c>
      <c r="M175" s="297">
        <v>0.974</v>
      </c>
      <c r="N175" s="297">
        <v>0.971</v>
      </c>
      <c r="O175" s="297">
        <v>1.049</v>
      </c>
      <c r="P175" s="297">
        <v>1.082</v>
      </c>
      <c r="Q175" s="363"/>
      <c r="R175" s="363"/>
      <c r="S175" s="363"/>
      <c r="T175" s="363"/>
      <c r="U175" s="363"/>
      <c r="V175" s="363"/>
      <c r="W175" s="363"/>
      <c r="X175" s="363"/>
      <c r="Y175" s="363"/>
      <c r="Z175" s="363"/>
      <c r="AA175" s="363"/>
      <c r="AB175" s="363"/>
      <c r="AC175" s="363"/>
      <c r="AD175" s="363"/>
      <c r="AE175" s="238"/>
      <c r="AF175" s="238"/>
      <c r="AG175" s="271"/>
      <c r="AH175" s="272"/>
      <c r="AI175" s="273"/>
      <c r="AJ175" s="40"/>
      <c r="AK175" s="40"/>
      <c r="AL175" s="400"/>
      <c r="AM175" s="403"/>
      <c r="AN175" s="401"/>
      <c r="AO175" s="396"/>
      <c r="AP175" s="346"/>
      <c r="AQ175" s="346"/>
      <c r="AR175" s="1"/>
      <c r="AS175" s="1"/>
    </row>
    <row r="176" spans="1:45" ht="12.75">
      <c r="A176" s="291" t="s">
        <v>58</v>
      </c>
      <c r="B176" s="293">
        <v>94157000</v>
      </c>
      <c r="C176" s="294">
        <v>0.7624000000000001</v>
      </c>
      <c r="D176" s="606">
        <v>4.2</v>
      </c>
      <c r="E176" s="294">
        <v>73.65</v>
      </c>
      <c r="F176" s="294">
        <v>0.855</v>
      </c>
      <c r="G176" s="300"/>
      <c r="H176" s="300"/>
      <c r="I176" s="293">
        <v>2664.6666666666665</v>
      </c>
      <c r="J176" s="294"/>
      <c r="K176" s="297">
        <v>0.873</v>
      </c>
      <c r="L176" s="297">
        <v>0.862</v>
      </c>
      <c r="M176" s="297">
        <v>0.853</v>
      </c>
      <c r="N176" s="297">
        <v>0.848</v>
      </c>
      <c r="O176" s="297">
        <v>0.857</v>
      </c>
      <c r="P176" s="297">
        <v>0.843</v>
      </c>
      <c r="Q176" s="363"/>
      <c r="R176" s="363"/>
      <c r="S176" s="363"/>
      <c r="T176" s="363"/>
      <c r="U176" s="363"/>
      <c r="V176" s="363"/>
      <c r="W176" s="363"/>
      <c r="X176" s="363"/>
      <c r="Y176" s="363"/>
      <c r="Z176" s="363"/>
      <c r="AA176" s="363"/>
      <c r="AB176" s="363"/>
      <c r="AC176" s="363"/>
      <c r="AD176" s="363"/>
      <c r="AE176" s="238"/>
      <c r="AF176" s="238"/>
      <c r="AG176" s="271"/>
      <c r="AH176" s="272"/>
      <c r="AI176" s="273"/>
      <c r="AJ176" s="40"/>
      <c r="AK176" s="40"/>
      <c r="AL176" s="400"/>
      <c r="AM176" s="403"/>
      <c r="AN176" s="401"/>
      <c r="AO176" s="396"/>
      <c r="AP176" s="346"/>
      <c r="AQ176" s="346"/>
      <c r="AR176" s="1"/>
      <c r="AS176" s="1"/>
    </row>
    <row r="177" spans="1:45" ht="12.75">
      <c r="A177" s="291" t="s">
        <v>69</v>
      </c>
      <c r="B177" s="293">
        <v>38518000</v>
      </c>
      <c r="C177" s="294">
        <v>8.5225</v>
      </c>
      <c r="D177" s="606">
        <v>1.2</v>
      </c>
      <c r="E177" s="294">
        <v>78.35</v>
      </c>
      <c r="F177" s="294">
        <v>1.705</v>
      </c>
      <c r="G177" s="300"/>
      <c r="H177" s="300"/>
      <c r="I177" s="293">
        <v>11967.333333333334</v>
      </c>
      <c r="J177" s="294"/>
      <c r="K177" s="299">
        <v>7.569</v>
      </c>
      <c r="L177" s="299">
        <v>7.153</v>
      </c>
      <c r="M177" s="299">
        <v>7.1</v>
      </c>
      <c r="N177" s="299">
        <v>7.377</v>
      </c>
      <c r="O177" s="299">
        <v>7.573</v>
      </c>
      <c r="P177" s="299">
        <v>7.459</v>
      </c>
      <c r="Q177" s="363"/>
      <c r="R177" s="363"/>
      <c r="S177" s="363"/>
      <c r="T177" s="363"/>
      <c r="U177" s="363"/>
      <c r="V177" s="363"/>
      <c r="W177" s="363"/>
      <c r="X177" s="363"/>
      <c r="Y177" s="363"/>
      <c r="Z177" s="363"/>
      <c r="AA177" s="363"/>
      <c r="AB177" s="363"/>
      <c r="AC177" s="363"/>
      <c r="AD177" s="363"/>
      <c r="AE177" s="238"/>
      <c r="AF177" s="238"/>
      <c r="AG177" s="271"/>
      <c r="AH177" s="272"/>
      <c r="AI177" s="273"/>
      <c r="AJ177" s="40"/>
      <c r="AK177" s="40"/>
      <c r="AL177" s="400"/>
      <c r="AM177" s="403"/>
      <c r="AN177" s="401"/>
      <c r="AO177" s="396"/>
      <c r="AP177" s="346"/>
      <c r="AQ177" s="346"/>
      <c r="AR177" s="1"/>
      <c r="AS177" s="1"/>
    </row>
    <row r="178" spans="1:45" ht="12.75">
      <c r="A178" s="291" t="s">
        <v>32</v>
      </c>
      <c r="B178" s="293">
        <v>10643000</v>
      </c>
      <c r="C178" s="294">
        <v>4.959899999999999</v>
      </c>
      <c r="D178" s="606">
        <v>2.4</v>
      </c>
      <c r="E178" s="294">
        <v>84.35</v>
      </c>
      <c r="F178" s="294">
        <v>2.03</v>
      </c>
      <c r="G178" s="300"/>
      <c r="H178" s="300"/>
      <c r="I178" s="293">
        <v>19354.833333333332</v>
      </c>
      <c r="J178" s="294"/>
      <c r="K178" s="297">
        <v>6.148</v>
      </c>
      <c r="L178" s="297">
        <v>5.883</v>
      </c>
      <c r="M178" s="297">
        <v>6.324</v>
      </c>
      <c r="N178" s="297">
        <v>5.903</v>
      </c>
      <c r="O178" s="297">
        <v>6.023</v>
      </c>
      <c r="P178" s="297">
        <v>6.253</v>
      </c>
      <c r="Q178" s="363"/>
      <c r="R178" s="363"/>
      <c r="S178" s="363"/>
      <c r="T178" s="363"/>
      <c r="U178" s="363"/>
      <c r="V178" s="363"/>
      <c r="W178" s="363"/>
      <c r="X178" s="363"/>
      <c r="Y178" s="363"/>
      <c r="Z178" s="363"/>
      <c r="AA178" s="363"/>
      <c r="AB178" s="363"/>
      <c r="AC178" s="363"/>
      <c r="AD178" s="363"/>
      <c r="AE178" s="238"/>
      <c r="AF178" s="238"/>
      <c r="AG178" s="271"/>
      <c r="AH178" s="272"/>
      <c r="AI178" s="273"/>
      <c r="AJ178" s="40"/>
      <c r="AK178" s="40"/>
      <c r="AL178" s="400"/>
      <c r="AM178" s="403"/>
      <c r="AN178" s="401"/>
      <c r="AO178" s="396"/>
      <c r="AP178" s="346"/>
      <c r="AQ178" s="346"/>
      <c r="AR178" s="1"/>
      <c r="AS178" s="1"/>
    </row>
    <row r="179" spans="1:45" ht="12.75">
      <c r="A179" s="291" t="s">
        <v>12</v>
      </c>
      <c r="B179" s="293">
        <v>815000</v>
      </c>
      <c r="C179" s="294">
        <v>55.1634</v>
      </c>
      <c r="D179" s="606">
        <v>0</v>
      </c>
      <c r="E179" s="294">
        <v>57.005759206065285</v>
      </c>
      <c r="F179" s="294">
        <v>2.5104314413278406</v>
      </c>
      <c r="G179" s="300"/>
      <c r="H179" s="300"/>
      <c r="I179" s="298">
        <v>63925.166666666664</v>
      </c>
      <c r="J179" s="294"/>
      <c r="K179" s="297">
        <v>55.343</v>
      </c>
      <c r="L179" s="297">
        <v>41.83</v>
      </c>
      <c r="M179" s="297">
        <v>42.564</v>
      </c>
      <c r="N179" s="297">
        <v>44.791</v>
      </c>
      <c r="O179" s="297">
        <v>50.923</v>
      </c>
      <c r="P179" s="297">
        <v>66.535</v>
      </c>
      <c r="Q179" s="363"/>
      <c r="R179" s="363"/>
      <c r="S179" s="363"/>
      <c r="T179" s="363"/>
      <c r="U179" s="363"/>
      <c r="V179" s="363"/>
      <c r="W179" s="363"/>
      <c r="X179" s="363"/>
      <c r="Y179" s="363"/>
      <c r="Z179" s="363"/>
      <c r="AA179" s="363"/>
      <c r="AB179" s="363"/>
      <c r="AC179" s="363"/>
      <c r="AD179" s="363"/>
      <c r="AE179" s="238"/>
      <c r="AF179" s="238"/>
      <c r="AG179" s="271"/>
      <c r="AH179" s="272"/>
      <c r="AI179" s="273"/>
      <c r="AJ179" s="40"/>
      <c r="AK179" s="40"/>
      <c r="AL179" s="400"/>
      <c r="AM179" s="403"/>
      <c r="AN179" s="401"/>
      <c r="AO179" s="396"/>
      <c r="AP179" s="346"/>
      <c r="AQ179" s="346"/>
      <c r="AR179" s="1"/>
      <c r="AS179" s="1"/>
    </row>
    <row r="180" spans="1:45" ht="12.75">
      <c r="A180" s="291" t="s">
        <v>172</v>
      </c>
      <c r="B180" s="293">
        <v>766000</v>
      </c>
      <c r="C180" s="294">
        <v>2.8051000000000004</v>
      </c>
      <c r="D180" s="606">
        <v>-1.2</v>
      </c>
      <c r="E180" s="305"/>
      <c r="F180" s="305"/>
      <c r="G180" s="295"/>
      <c r="H180" s="295"/>
      <c r="I180" s="308"/>
      <c r="J180" s="294"/>
      <c r="K180" s="297">
        <v>3.486</v>
      </c>
      <c r="L180" s="297">
        <v>3.56</v>
      </c>
      <c r="M180" s="297">
        <v>3.481</v>
      </c>
      <c r="N180" s="297">
        <v>3.424</v>
      </c>
      <c r="O180" s="297">
        <v>3.442</v>
      </c>
      <c r="P180" s="297">
        <v>3.548</v>
      </c>
      <c r="Q180" s="363"/>
      <c r="R180" s="363"/>
      <c r="S180" s="363"/>
      <c r="T180" s="363"/>
      <c r="U180" s="363"/>
      <c r="V180" s="363"/>
      <c r="W180" s="363"/>
      <c r="X180" s="363"/>
      <c r="Y180" s="363"/>
      <c r="Z180" s="363"/>
      <c r="AA180" s="363"/>
      <c r="AB180" s="363"/>
      <c r="AC180" s="363"/>
      <c r="AD180" s="363"/>
      <c r="AE180" s="238"/>
      <c r="AF180" s="238"/>
      <c r="AG180" s="271"/>
      <c r="AH180" s="272"/>
      <c r="AI180" s="273"/>
      <c r="AJ180" s="40"/>
      <c r="AK180" s="40"/>
      <c r="AL180" s="400"/>
      <c r="AM180" s="403"/>
      <c r="AN180" s="401"/>
      <c r="AO180" s="396"/>
      <c r="AP180" s="346"/>
      <c r="AQ180" s="346"/>
      <c r="AR180" s="1"/>
      <c r="AS180" s="1"/>
    </row>
    <row r="181" spans="1:45" ht="12.75">
      <c r="A181" s="291" t="s">
        <v>54</v>
      </c>
      <c r="B181" s="293">
        <v>22106000</v>
      </c>
      <c r="C181" s="294">
        <v>5.4795</v>
      </c>
      <c r="D181" s="606">
        <v>0.15</v>
      </c>
      <c r="E181" s="294">
        <v>64.4</v>
      </c>
      <c r="F181" s="294">
        <v>1.535</v>
      </c>
      <c r="G181" s="295">
        <v>0.02216211943264974</v>
      </c>
      <c r="H181" s="295">
        <v>0.057676648873608974</v>
      </c>
      <c r="I181" s="293">
        <v>7477</v>
      </c>
      <c r="J181" s="294"/>
      <c r="K181" s="297">
        <v>4.155</v>
      </c>
      <c r="L181" s="297">
        <v>4.551</v>
      </c>
      <c r="M181" s="297">
        <v>4.471</v>
      </c>
      <c r="N181" s="297">
        <v>4.47</v>
      </c>
      <c r="O181" s="297">
        <v>4.516</v>
      </c>
      <c r="P181" s="297">
        <v>4.496</v>
      </c>
      <c r="Q181" s="363"/>
      <c r="R181" s="363"/>
      <c r="S181" s="363"/>
      <c r="T181" s="363"/>
      <c r="U181" s="363"/>
      <c r="V181" s="363"/>
      <c r="W181" s="363"/>
      <c r="X181" s="363"/>
      <c r="Y181" s="363"/>
      <c r="Z181" s="363"/>
      <c r="AA181" s="363"/>
      <c r="AB181" s="363"/>
      <c r="AC181" s="363"/>
      <c r="AD181" s="363"/>
      <c r="AE181" s="238"/>
      <c r="AF181" s="238"/>
      <c r="AG181" s="271"/>
      <c r="AH181" s="272"/>
      <c r="AI181" s="273"/>
      <c r="AJ181" s="40"/>
      <c r="AK181" s="40"/>
      <c r="AL181" s="400"/>
      <c r="AM181" s="403"/>
      <c r="AN181" s="401"/>
      <c r="AO181" s="396"/>
      <c r="AP181" s="346"/>
      <c r="AQ181" s="346"/>
      <c r="AR181" s="1"/>
      <c r="AS181" s="1"/>
    </row>
    <row r="182" spans="1:45" ht="12.75">
      <c r="A182" s="291" t="s">
        <v>74</v>
      </c>
      <c r="B182" s="293">
        <v>141378000</v>
      </c>
      <c r="C182" s="294">
        <v>11.1445</v>
      </c>
      <c r="D182" s="606">
        <v>0</v>
      </c>
      <c r="E182" s="294">
        <v>80.7</v>
      </c>
      <c r="F182" s="294">
        <v>1.5</v>
      </c>
      <c r="G182" s="295">
        <v>0.17705563509920227</v>
      </c>
      <c r="H182" s="295">
        <v>0.2306169748239943</v>
      </c>
      <c r="I182" s="293">
        <v>8930.166666666666</v>
      </c>
      <c r="J182" s="294"/>
      <c r="K182" s="297">
        <v>10.607</v>
      </c>
      <c r="L182" s="297">
        <v>10.432</v>
      </c>
      <c r="M182" s="297">
        <v>10.648</v>
      </c>
      <c r="N182" s="297">
        <v>11.091</v>
      </c>
      <c r="O182" s="297">
        <v>11.424</v>
      </c>
      <c r="P182" s="297">
        <v>11.575</v>
      </c>
      <c r="Q182" s="363"/>
      <c r="R182" s="363"/>
      <c r="S182" s="363"/>
      <c r="T182" s="363"/>
      <c r="U182" s="363"/>
      <c r="V182" s="363"/>
      <c r="W182" s="363"/>
      <c r="X182" s="363"/>
      <c r="Y182" s="363"/>
      <c r="Z182" s="363"/>
      <c r="AA182" s="363"/>
      <c r="AB182" s="363"/>
      <c r="AC182" s="363"/>
      <c r="AD182" s="363"/>
      <c r="AE182" s="238"/>
      <c r="AF182" s="238"/>
      <c r="AG182" s="271"/>
      <c r="AH182" s="272"/>
      <c r="AI182" s="273"/>
      <c r="AJ182" s="40"/>
      <c r="AK182" s="40"/>
      <c r="AL182" s="400"/>
      <c r="AM182" s="403"/>
      <c r="AN182" s="401"/>
      <c r="AO182" s="396"/>
      <c r="AP182" s="346"/>
      <c r="AQ182" s="346"/>
      <c r="AR182" s="1"/>
      <c r="AS182" s="1"/>
    </row>
    <row r="183" spans="1:45" ht="12.75">
      <c r="A183" s="291" t="s">
        <v>129</v>
      </c>
      <c r="B183" s="293">
        <v>10141000</v>
      </c>
      <c r="C183" s="294">
        <v>0.1006</v>
      </c>
      <c r="D183" s="606">
        <v>4.05</v>
      </c>
      <c r="E183" s="294">
        <v>55.95</v>
      </c>
      <c r="F183" s="294">
        <v>0.72</v>
      </c>
      <c r="G183" s="300"/>
      <c r="H183" s="300"/>
      <c r="I183" s="293">
        <v>698.5</v>
      </c>
      <c r="J183" s="294"/>
      <c r="K183" s="297">
        <v>0.091</v>
      </c>
      <c r="L183" s="297">
        <v>0.09</v>
      </c>
      <c r="M183" s="297">
        <v>0.088</v>
      </c>
      <c r="N183" s="297">
        <v>0.086</v>
      </c>
      <c r="O183" s="297">
        <v>0.082</v>
      </c>
      <c r="P183" s="297">
        <v>0.084</v>
      </c>
      <c r="Q183" s="363"/>
      <c r="R183" s="363"/>
      <c r="S183" s="363"/>
      <c r="T183" s="363"/>
      <c r="U183" s="363"/>
      <c r="V183" s="363"/>
      <c r="W183" s="363"/>
      <c r="X183" s="363"/>
      <c r="Y183" s="363"/>
      <c r="Z183" s="363"/>
      <c r="AA183" s="363"/>
      <c r="AB183" s="363"/>
      <c r="AC183" s="363"/>
      <c r="AD183" s="363"/>
      <c r="AE183" s="238"/>
      <c r="AF183" s="238"/>
      <c r="AG183" s="271"/>
      <c r="AH183" s="272"/>
      <c r="AI183" s="273"/>
      <c r="AJ183" s="40"/>
      <c r="AK183" s="40"/>
      <c r="AL183" s="400"/>
      <c r="AM183" s="403"/>
      <c r="AN183" s="401"/>
      <c r="AO183" s="396"/>
      <c r="AP183" s="346"/>
      <c r="AQ183" s="346"/>
      <c r="AR183" s="1"/>
      <c r="AS183" s="1"/>
    </row>
    <row r="184" spans="1:45" ht="12.75">
      <c r="A184" s="291" t="s">
        <v>174</v>
      </c>
      <c r="B184" s="293">
        <v>49000</v>
      </c>
      <c r="C184" s="294">
        <v>2.1276</v>
      </c>
      <c r="D184" s="606">
        <v>0</v>
      </c>
      <c r="E184" s="305"/>
      <c r="F184" s="305"/>
      <c r="G184" s="295"/>
      <c r="H184" s="295"/>
      <c r="I184" s="293">
        <v>13273.333333333334</v>
      </c>
      <c r="J184" s="294"/>
      <c r="K184" s="299">
        <v>2.296</v>
      </c>
      <c r="L184" s="299">
        <v>2.269</v>
      </c>
      <c r="M184" s="299">
        <v>2.246</v>
      </c>
      <c r="N184" s="299">
        <v>2.493</v>
      </c>
      <c r="O184" s="299">
        <v>2.74</v>
      </c>
      <c r="P184" s="299">
        <v>2.851</v>
      </c>
      <c r="Q184" s="363"/>
      <c r="R184" s="363"/>
      <c r="S184" s="363"/>
      <c r="T184" s="363"/>
      <c r="U184" s="363"/>
      <c r="V184" s="363"/>
      <c r="W184" s="363"/>
      <c r="X184" s="363"/>
      <c r="Y184" s="363"/>
      <c r="Z184" s="363"/>
      <c r="AA184" s="363"/>
      <c r="AB184" s="363"/>
      <c r="AC184" s="363"/>
      <c r="AD184" s="363"/>
      <c r="AE184" s="238"/>
      <c r="AF184" s="238"/>
      <c r="AG184" s="271"/>
      <c r="AH184" s="273"/>
      <c r="AI184" s="273"/>
      <c r="AJ184" s="40"/>
      <c r="AK184" s="40"/>
      <c r="AL184" s="400"/>
      <c r="AM184" s="403"/>
      <c r="AN184" s="401"/>
      <c r="AO184" s="396"/>
      <c r="AP184" s="346"/>
      <c r="AQ184" s="346"/>
      <c r="AR184" s="1"/>
      <c r="AS184" s="1"/>
    </row>
    <row r="185" spans="1:45" ht="12.75">
      <c r="A185" s="291" t="s">
        <v>175</v>
      </c>
      <c r="B185" s="293">
        <v>159000</v>
      </c>
      <c r="C185" s="294">
        <v>1.2949</v>
      </c>
      <c r="D185" s="606">
        <v>7.35</v>
      </c>
      <c r="E185" s="305"/>
      <c r="F185" s="305"/>
      <c r="G185" s="295"/>
      <c r="H185" s="295"/>
      <c r="I185" s="293">
        <v>7928.166666666667</v>
      </c>
      <c r="J185" s="294"/>
      <c r="K185" s="299">
        <v>2.169</v>
      </c>
      <c r="L185" s="299">
        <v>2.256</v>
      </c>
      <c r="M185" s="299">
        <v>2.285</v>
      </c>
      <c r="N185" s="299">
        <v>2.488</v>
      </c>
      <c r="O185" s="299">
        <v>2.359</v>
      </c>
      <c r="P185" s="299">
        <v>2.388</v>
      </c>
      <c r="Q185" s="363"/>
      <c r="R185" s="363"/>
      <c r="S185" s="363"/>
      <c r="T185" s="363"/>
      <c r="U185" s="363"/>
      <c r="V185" s="363"/>
      <c r="W185" s="363"/>
      <c r="X185" s="363"/>
      <c r="Y185" s="363"/>
      <c r="Z185" s="363"/>
      <c r="AA185" s="363"/>
      <c r="AB185" s="363"/>
      <c r="AC185" s="363"/>
      <c r="AD185" s="363"/>
      <c r="AE185" s="238"/>
      <c r="AF185" s="238"/>
      <c r="AG185" s="271"/>
      <c r="AH185" s="272"/>
      <c r="AI185" s="273"/>
      <c r="AJ185" s="40"/>
      <c r="AK185" s="40"/>
      <c r="AL185" s="400"/>
      <c r="AM185" s="403"/>
      <c r="AN185" s="401"/>
      <c r="AO185" s="396"/>
      <c r="AP185" s="346"/>
      <c r="AQ185" s="346"/>
      <c r="AR185" s="1"/>
      <c r="AS185" s="1"/>
    </row>
    <row r="186" spans="1:45" ht="12.75">
      <c r="A186" s="291" t="s">
        <v>198</v>
      </c>
      <c r="B186" s="293">
        <v>105000</v>
      </c>
      <c r="C186" s="294">
        <v>1.0581</v>
      </c>
      <c r="D186" s="606">
        <v>3.9</v>
      </c>
      <c r="E186" s="305"/>
      <c r="F186" s="305"/>
      <c r="G186" s="295"/>
      <c r="H186" s="295"/>
      <c r="I186" s="293">
        <v>7637.333333333333</v>
      </c>
      <c r="J186" s="294"/>
      <c r="K186" s="297">
        <v>1.547</v>
      </c>
      <c r="L186" s="297">
        <v>1.58</v>
      </c>
      <c r="M186" s="297">
        <v>1.659</v>
      </c>
      <c r="N186" s="297">
        <v>1.739</v>
      </c>
      <c r="O186" s="297">
        <v>1.852</v>
      </c>
      <c r="P186" s="297">
        <v>1.873</v>
      </c>
      <c r="Q186" s="363"/>
      <c r="R186" s="363"/>
      <c r="S186" s="363"/>
      <c r="T186" s="363"/>
      <c r="U186" s="363"/>
      <c r="V186" s="363"/>
      <c r="W186" s="363"/>
      <c r="X186" s="363"/>
      <c r="Y186" s="363"/>
      <c r="Z186" s="363"/>
      <c r="AA186" s="363"/>
      <c r="AB186" s="363"/>
      <c r="AC186" s="363"/>
      <c r="AD186" s="363"/>
      <c r="AE186" s="238"/>
      <c r="AF186" s="238"/>
      <c r="AG186" s="271"/>
      <c r="AH186" s="272"/>
      <c r="AI186" s="273"/>
      <c r="AJ186" s="40"/>
      <c r="AK186" s="40"/>
      <c r="AL186" s="400"/>
      <c r="AM186" s="403"/>
      <c r="AN186" s="401"/>
      <c r="AO186" s="396"/>
      <c r="AP186" s="346"/>
      <c r="AQ186" s="346"/>
      <c r="AR186" s="1"/>
      <c r="AS186" s="1"/>
    </row>
    <row r="187" spans="1:45" ht="12.75">
      <c r="A187" s="291" t="s">
        <v>179</v>
      </c>
      <c r="B187" s="293">
        <v>188000</v>
      </c>
      <c r="C187" s="294">
        <v>0.7933</v>
      </c>
      <c r="D187" s="606">
        <v>20.88</v>
      </c>
      <c r="E187" s="305"/>
      <c r="F187" s="305"/>
      <c r="G187" s="295"/>
      <c r="H187" s="295"/>
      <c r="I187" s="293">
        <v>3251.1666666666665</v>
      </c>
      <c r="J187" s="294"/>
      <c r="K187" s="297">
        <v>0.811</v>
      </c>
      <c r="L187" s="297">
        <v>0.804</v>
      </c>
      <c r="M187" s="297">
        <v>0.832</v>
      </c>
      <c r="N187" s="297">
        <v>0.824</v>
      </c>
      <c r="O187" s="297">
        <v>0.851</v>
      </c>
      <c r="P187" s="297">
        <v>0.895</v>
      </c>
      <c r="Q187" s="363"/>
      <c r="R187" s="363"/>
      <c r="S187" s="363"/>
      <c r="T187" s="363"/>
      <c r="U187" s="363"/>
      <c r="V187" s="363"/>
      <c r="W187" s="363"/>
      <c r="X187" s="363"/>
      <c r="Y187" s="363"/>
      <c r="Z187" s="363"/>
      <c r="AA187" s="363"/>
      <c r="AB187" s="363"/>
      <c r="AC187" s="363"/>
      <c r="AD187" s="363"/>
      <c r="AE187" s="238"/>
      <c r="AF187" s="238"/>
      <c r="AG187" s="271"/>
      <c r="AH187" s="273"/>
      <c r="AI187" s="273"/>
      <c r="AJ187" s="40"/>
      <c r="AK187" s="40"/>
      <c r="AL187" s="400"/>
      <c r="AM187" s="403"/>
      <c r="AN187" s="401"/>
      <c r="AO187" s="396"/>
      <c r="AP187" s="346"/>
      <c r="AQ187" s="346"/>
      <c r="AR187" s="1"/>
      <c r="AS187" s="1"/>
    </row>
    <row r="188" spans="1:45" ht="12.75">
      <c r="A188" s="291" t="s">
        <v>92</v>
      </c>
      <c r="B188" s="293">
        <v>165000</v>
      </c>
      <c r="C188" s="294">
        <v>0.6127</v>
      </c>
      <c r="D188" s="606">
        <v>0</v>
      </c>
      <c r="E188" s="294">
        <v>66.79815956048141</v>
      </c>
      <c r="F188" s="305"/>
      <c r="G188" s="300"/>
      <c r="H188" s="300"/>
      <c r="I188" s="293">
        <v>1188.6860739121907</v>
      </c>
      <c r="J188" s="294"/>
      <c r="K188" s="297">
        <v>0.655</v>
      </c>
      <c r="L188" s="297">
        <v>0.64</v>
      </c>
      <c r="M188" s="297">
        <v>0.648</v>
      </c>
      <c r="N188" s="297">
        <v>0.633</v>
      </c>
      <c r="O188" s="297">
        <v>0.619</v>
      </c>
      <c r="P188" s="297">
        <v>0.625</v>
      </c>
      <c r="Q188" s="363"/>
      <c r="R188" s="363"/>
      <c r="S188" s="363"/>
      <c r="T188" s="363"/>
      <c r="U188" s="363"/>
      <c r="V188" s="363"/>
      <c r="W188" s="363"/>
      <c r="X188" s="363"/>
      <c r="Y188" s="363"/>
      <c r="Z188" s="363"/>
      <c r="AA188" s="363"/>
      <c r="AB188" s="363"/>
      <c r="AC188" s="363"/>
      <c r="AD188" s="363"/>
      <c r="AE188" s="238"/>
      <c r="AF188" s="238"/>
      <c r="AG188" s="271"/>
      <c r="AH188" s="273"/>
      <c r="AI188" s="273"/>
      <c r="AJ188" s="40"/>
      <c r="AK188" s="40"/>
      <c r="AL188" s="400"/>
      <c r="AM188" s="403"/>
      <c r="AN188" s="401"/>
      <c r="AO188" s="396"/>
      <c r="AP188" s="346"/>
      <c r="AQ188" s="346"/>
      <c r="AR188" s="1"/>
      <c r="AS188" s="1"/>
    </row>
    <row r="189" spans="1:45" ht="12.75">
      <c r="A189" s="291" t="s">
        <v>99</v>
      </c>
      <c r="B189" s="293">
        <v>24499000</v>
      </c>
      <c r="C189" s="294">
        <v>13.0789</v>
      </c>
      <c r="D189" s="606">
        <v>0</v>
      </c>
      <c r="E189" s="294">
        <v>70.55</v>
      </c>
      <c r="F189" s="294">
        <v>1.22</v>
      </c>
      <c r="G189" s="300"/>
      <c r="H189" s="300"/>
      <c r="I189" s="298">
        <v>18658.333333333332</v>
      </c>
      <c r="J189" s="294"/>
      <c r="K189" s="297">
        <v>13.633</v>
      </c>
      <c r="L189" s="297">
        <v>13.825</v>
      </c>
      <c r="M189" s="297">
        <v>13.99</v>
      </c>
      <c r="N189" s="297">
        <v>15.269</v>
      </c>
      <c r="O189" s="297">
        <v>16.757</v>
      </c>
      <c r="P189" s="297">
        <v>17.153</v>
      </c>
      <c r="Q189" s="363"/>
      <c r="R189" s="363"/>
      <c r="S189" s="363"/>
      <c r="T189" s="363"/>
      <c r="U189" s="363"/>
      <c r="V189" s="363"/>
      <c r="W189" s="363"/>
      <c r="X189" s="363"/>
      <c r="Y189" s="363"/>
      <c r="Z189" s="363"/>
      <c r="AA189" s="363"/>
      <c r="AB189" s="363"/>
      <c r="AC189" s="363"/>
      <c r="AD189" s="363"/>
      <c r="AE189" s="238"/>
      <c r="AF189" s="238"/>
      <c r="AG189" s="271"/>
      <c r="AH189" s="272"/>
      <c r="AI189" s="273"/>
      <c r="AJ189" s="40"/>
      <c r="AK189" s="40"/>
      <c r="AL189" s="400"/>
      <c r="AM189" s="403"/>
      <c r="AN189" s="401"/>
      <c r="AO189" s="396"/>
      <c r="AP189" s="346"/>
      <c r="AQ189" s="346"/>
      <c r="AR189" s="1"/>
      <c r="AS189" s="1"/>
    </row>
    <row r="190" spans="1:45" ht="12.75">
      <c r="A190" s="291" t="s">
        <v>137</v>
      </c>
      <c r="B190" s="293">
        <v>11394000</v>
      </c>
      <c r="C190" s="294">
        <v>0.40370000000000006</v>
      </c>
      <c r="D190" s="606">
        <v>-5.4</v>
      </c>
      <c r="E190" s="294">
        <v>57.45</v>
      </c>
      <c r="F190" s="294">
        <v>1.16</v>
      </c>
      <c r="G190" s="300"/>
      <c r="H190" s="300"/>
      <c r="I190" s="293">
        <v>1483.8333333333333</v>
      </c>
      <c r="J190" s="294"/>
      <c r="K190" s="297">
        <v>0.468</v>
      </c>
      <c r="L190" s="297">
        <v>0.454</v>
      </c>
      <c r="M190" s="297">
        <v>0.447</v>
      </c>
      <c r="N190" s="297">
        <v>0.439</v>
      </c>
      <c r="O190" s="297">
        <v>0.504</v>
      </c>
      <c r="P190" s="297">
        <v>0.528</v>
      </c>
      <c r="Q190" s="363"/>
      <c r="R190" s="363"/>
      <c r="S190" s="363"/>
      <c r="T190" s="363"/>
      <c r="U190" s="363"/>
      <c r="V190" s="363"/>
      <c r="W190" s="363"/>
      <c r="X190" s="363"/>
      <c r="Y190" s="363"/>
      <c r="Z190" s="363"/>
      <c r="AA190" s="363"/>
      <c r="AB190" s="363"/>
      <c r="AC190" s="363"/>
      <c r="AD190" s="363"/>
      <c r="AE190" s="238"/>
      <c r="AF190" s="238"/>
      <c r="AG190" s="271"/>
      <c r="AH190" s="272"/>
      <c r="AI190" s="273"/>
      <c r="AJ190" s="40"/>
      <c r="AK190" s="40"/>
      <c r="AL190" s="400"/>
      <c r="AM190" s="403"/>
      <c r="AN190" s="401"/>
      <c r="AO190" s="396"/>
      <c r="AP190" s="346"/>
      <c r="AQ190" s="346"/>
      <c r="AR190" s="1"/>
      <c r="AS190" s="1"/>
    </row>
    <row r="191" spans="1:45" ht="12.75">
      <c r="A191" s="291" t="s">
        <v>238</v>
      </c>
      <c r="B191" s="293">
        <v>9233000</v>
      </c>
      <c r="C191" s="295">
        <v>4.212625</v>
      </c>
      <c r="D191" s="606">
        <v>2.85</v>
      </c>
      <c r="E191" s="294">
        <v>80.90387911862844</v>
      </c>
      <c r="F191" s="294">
        <v>1.12</v>
      </c>
      <c r="G191" s="300"/>
      <c r="H191" s="300"/>
      <c r="I191" s="298">
        <v>6965.5</v>
      </c>
      <c r="J191" s="295"/>
      <c r="K191" s="302">
        <v>4.285</v>
      </c>
      <c r="L191" s="302">
        <v>4.377</v>
      </c>
      <c r="M191" s="302">
        <v>4.894</v>
      </c>
      <c r="N191" s="302">
        <v>5.249</v>
      </c>
      <c r="O191" s="302">
        <v>5.386</v>
      </c>
      <c r="P191" s="302">
        <v>4.914</v>
      </c>
      <c r="Q191" s="363"/>
      <c r="R191" s="363"/>
      <c r="S191" s="363"/>
      <c r="T191" s="363"/>
      <c r="U191" s="363"/>
      <c r="V191" s="345"/>
      <c r="W191" s="365"/>
      <c r="X191" s="365"/>
      <c r="Y191" s="365"/>
      <c r="Z191" s="365"/>
      <c r="AA191" s="365"/>
      <c r="AB191" s="365"/>
      <c r="AC191" s="365"/>
      <c r="AD191" s="365"/>
      <c r="AE191" s="238"/>
      <c r="AF191" s="238"/>
      <c r="AG191" s="271"/>
      <c r="AH191" s="272"/>
      <c r="AI191" s="273"/>
      <c r="AJ191" s="40"/>
      <c r="AK191" s="40"/>
      <c r="AL191" s="400"/>
      <c r="AM191" s="403"/>
      <c r="AN191" s="401"/>
      <c r="AO191" s="396"/>
      <c r="AP191" s="346"/>
      <c r="AQ191" s="346"/>
      <c r="AR191" s="1"/>
      <c r="AS191" s="1"/>
    </row>
    <row r="192" spans="1:45" ht="12.75">
      <c r="A192" s="291" t="s">
        <v>166</v>
      </c>
      <c r="B192" s="293">
        <v>86000</v>
      </c>
      <c r="C192" s="294">
        <v>7.0262</v>
      </c>
      <c r="D192" s="606">
        <v>0</v>
      </c>
      <c r="E192" s="305"/>
      <c r="F192" s="305"/>
      <c r="G192" s="295"/>
      <c r="H192" s="295"/>
      <c r="I192" s="293">
        <v>16190.166666666666</v>
      </c>
      <c r="J192" s="294"/>
      <c r="K192" s="297">
        <v>7.424</v>
      </c>
      <c r="L192" s="297">
        <v>7.528</v>
      </c>
      <c r="M192" s="297">
        <v>10.888</v>
      </c>
      <c r="N192" s="297">
        <v>10.597</v>
      </c>
      <c r="O192" s="297">
        <v>10.827</v>
      </c>
      <c r="P192" s="297">
        <v>10.51</v>
      </c>
      <c r="Q192" s="363"/>
      <c r="R192" s="363"/>
      <c r="S192" s="363"/>
      <c r="T192" s="363"/>
      <c r="U192" s="363"/>
      <c r="V192" s="363"/>
      <c r="W192" s="363"/>
      <c r="X192" s="363"/>
      <c r="Y192" s="363"/>
      <c r="Z192" s="363"/>
      <c r="AA192" s="363"/>
      <c r="AB192" s="363"/>
      <c r="AC192" s="363"/>
      <c r="AD192" s="363"/>
      <c r="AE192" s="238"/>
      <c r="AF192" s="238"/>
      <c r="AG192" s="271"/>
      <c r="AH192" s="272"/>
      <c r="AI192" s="273"/>
      <c r="AJ192" s="40"/>
      <c r="AK192" s="40"/>
      <c r="AL192" s="400"/>
      <c r="AM192" s="403"/>
      <c r="AN192" s="401"/>
      <c r="AO192" s="396"/>
      <c r="AP192" s="346"/>
      <c r="AQ192" s="346"/>
      <c r="AR192" s="1"/>
      <c r="AS192" s="1"/>
    </row>
    <row r="193" spans="1:45" ht="12.75">
      <c r="A193" s="291" t="s">
        <v>155</v>
      </c>
      <c r="B193" s="293">
        <v>4918000</v>
      </c>
      <c r="C193" s="294">
        <v>0.2205</v>
      </c>
      <c r="D193" s="606">
        <v>-6.15</v>
      </c>
      <c r="E193" s="294">
        <v>44.75</v>
      </c>
      <c r="F193" s="294">
        <v>0.73</v>
      </c>
      <c r="G193" s="300"/>
      <c r="H193" s="300"/>
      <c r="I193" s="293">
        <v>530.8333333333334</v>
      </c>
      <c r="J193" s="294"/>
      <c r="K193" s="297">
        <v>0.241</v>
      </c>
      <c r="L193" s="297">
        <v>0.232</v>
      </c>
      <c r="M193" s="297">
        <v>0.223</v>
      </c>
      <c r="N193" s="297">
        <v>0.218</v>
      </c>
      <c r="O193" s="297">
        <v>0.252</v>
      </c>
      <c r="P193" s="297">
        <v>0.246</v>
      </c>
      <c r="Q193" s="363"/>
      <c r="R193" s="363"/>
      <c r="S193" s="363"/>
      <c r="T193" s="363"/>
      <c r="U193" s="363"/>
      <c r="V193" s="363"/>
      <c r="W193" s="363"/>
      <c r="X193" s="363"/>
      <c r="Y193" s="363"/>
      <c r="Z193" s="363"/>
      <c r="AA193" s="363"/>
      <c r="AB193" s="363"/>
      <c r="AC193" s="363"/>
      <c r="AD193" s="363"/>
      <c r="AE193" s="238"/>
      <c r="AF193" s="238"/>
      <c r="AG193" s="271"/>
      <c r="AH193" s="272"/>
      <c r="AI193" s="273"/>
      <c r="AJ193" s="40"/>
      <c r="AK193" s="40"/>
      <c r="AL193" s="400"/>
      <c r="AM193" s="403"/>
      <c r="AN193" s="401"/>
      <c r="AO193" s="396"/>
      <c r="AP193" s="346"/>
      <c r="AQ193" s="346"/>
      <c r="AR193" s="1"/>
      <c r="AS193" s="1"/>
    </row>
    <row r="194" spans="1:45" ht="12.75">
      <c r="A194" s="291" t="s">
        <v>13</v>
      </c>
      <c r="B194" s="293">
        <v>4553000</v>
      </c>
      <c r="C194" s="294">
        <v>23.594199999999997</v>
      </c>
      <c r="D194" s="606">
        <v>0</v>
      </c>
      <c r="E194" s="294">
        <v>81.13703150801929</v>
      </c>
      <c r="F194" s="294">
        <v>0.9778437592945332</v>
      </c>
      <c r="G194" s="300"/>
      <c r="H194" s="300"/>
      <c r="I194" s="293">
        <v>37773.666666666664</v>
      </c>
      <c r="J194" s="294"/>
      <c r="K194" s="297">
        <v>26.666</v>
      </c>
      <c r="L194" s="297">
        <v>27.173</v>
      </c>
      <c r="M194" s="297">
        <v>26.266</v>
      </c>
      <c r="N194" s="297">
        <v>26.342</v>
      </c>
      <c r="O194" s="297">
        <v>29.031</v>
      </c>
      <c r="P194" s="297">
        <v>30.244</v>
      </c>
      <c r="Q194" s="363"/>
      <c r="R194" s="363"/>
      <c r="S194" s="363"/>
      <c r="T194" s="363"/>
      <c r="U194" s="363"/>
      <c r="V194" s="363"/>
      <c r="W194" s="363"/>
      <c r="X194" s="363"/>
      <c r="Y194" s="363"/>
      <c r="Z194" s="363"/>
      <c r="AA194" s="363"/>
      <c r="AB194" s="363"/>
      <c r="AC194" s="363"/>
      <c r="AD194" s="363"/>
      <c r="AE194" s="238"/>
      <c r="AF194" s="238"/>
      <c r="AG194" s="274"/>
      <c r="AH194" s="275"/>
      <c r="AI194" s="273"/>
      <c r="AJ194" s="40"/>
      <c r="AK194" s="40"/>
      <c r="AL194" s="400"/>
      <c r="AM194" s="403"/>
      <c r="AN194" s="401"/>
      <c r="AO194" s="396"/>
      <c r="AP194" s="346"/>
      <c r="AQ194" s="346"/>
      <c r="AR194" s="1"/>
      <c r="AS194" s="1"/>
    </row>
    <row r="195" spans="1:45" ht="12.75">
      <c r="A195" s="291" t="s">
        <v>27</v>
      </c>
      <c r="B195" s="293">
        <v>5448000</v>
      </c>
      <c r="C195" s="294">
        <v>7.637714285714286</v>
      </c>
      <c r="D195" s="606">
        <v>0.3</v>
      </c>
      <c r="E195" s="294">
        <v>82.55</v>
      </c>
      <c r="F195" s="294">
        <v>1.465</v>
      </c>
      <c r="G195" s="295">
        <v>0.5251905558654024</v>
      </c>
      <c r="H195" s="295">
        <v>0.7487457170827215</v>
      </c>
      <c r="I195" s="293">
        <v>13411.833333333334</v>
      </c>
      <c r="J195" s="294"/>
      <c r="K195" s="299">
        <v>6.74</v>
      </c>
      <c r="L195" s="299">
        <v>7.331</v>
      </c>
      <c r="M195" s="299">
        <v>7.229</v>
      </c>
      <c r="N195" s="299">
        <v>7.267</v>
      </c>
      <c r="O195" s="299">
        <v>7.049</v>
      </c>
      <c r="P195" s="299">
        <v>7.292</v>
      </c>
      <c r="Q195" s="363"/>
      <c r="R195" s="363"/>
      <c r="S195" s="363"/>
      <c r="T195" s="363"/>
      <c r="U195" s="363"/>
      <c r="V195" s="363"/>
      <c r="W195" s="363"/>
      <c r="X195" s="363"/>
      <c r="Y195" s="363"/>
      <c r="Z195" s="363"/>
      <c r="AA195" s="363"/>
      <c r="AB195" s="363"/>
      <c r="AC195" s="363"/>
      <c r="AD195" s="363"/>
      <c r="AE195" s="238"/>
      <c r="AF195" s="238"/>
      <c r="AG195" s="271"/>
      <c r="AH195" s="273"/>
      <c r="AI195" s="273"/>
      <c r="AJ195" s="40"/>
      <c r="AK195" s="40"/>
      <c r="AL195" s="401"/>
      <c r="AM195" s="404"/>
      <c r="AN195" s="399"/>
      <c r="AO195" s="396"/>
      <c r="AP195" s="346"/>
      <c r="AQ195" s="346"/>
      <c r="AR195" s="1"/>
      <c r="AS195" s="1"/>
    </row>
    <row r="196" spans="1:45" ht="12.75">
      <c r="A196" s="291" t="s">
        <v>62</v>
      </c>
      <c r="B196" s="293">
        <v>2009000</v>
      </c>
      <c r="C196" s="294">
        <v>7.505625</v>
      </c>
      <c r="D196" s="606">
        <v>4.05</v>
      </c>
      <c r="E196" s="294">
        <v>81.9</v>
      </c>
      <c r="F196" s="294">
        <v>1.56</v>
      </c>
      <c r="G196" s="295">
        <v>0.5525818639798488</v>
      </c>
      <c r="H196" s="295">
        <v>0.6491621038659368</v>
      </c>
      <c r="I196" s="293">
        <v>20337.5</v>
      </c>
      <c r="J196" s="294"/>
      <c r="K196" s="297">
        <v>7.798</v>
      </c>
      <c r="L196" s="297">
        <v>7.991</v>
      </c>
      <c r="M196" s="297">
        <v>8.216</v>
      </c>
      <c r="N196" s="297">
        <v>8.35</v>
      </c>
      <c r="O196" s="297">
        <v>8.357</v>
      </c>
      <c r="P196" s="297">
        <v>8.494</v>
      </c>
      <c r="Q196" s="363"/>
      <c r="R196" s="363"/>
      <c r="S196" s="363"/>
      <c r="T196" s="363"/>
      <c r="U196" s="363"/>
      <c r="V196" s="363"/>
      <c r="W196" s="363"/>
      <c r="X196" s="363"/>
      <c r="Y196" s="363"/>
      <c r="Z196" s="363"/>
      <c r="AA196" s="363"/>
      <c r="AB196" s="363"/>
      <c r="AC196" s="363"/>
      <c r="AD196" s="363"/>
      <c r="AE196" s="238"/>
      <c r="AF196" s="238"/>
      <c r="AG196" s="271"/>
      <c r="AH196" s="272"/>
      <c r="AI196" s="273"/>
      <c r="AJ196" s="40"/>
      <c r="AK196" s="40"/>
      <c r="AL196" s="401"/>
      <c r="AM196" s="404"/>
      <c r="AN196" s="399"/>
      <c r="AO196" s="405"/>
      <c r="AP196" s="346"/>
      <c r="AQ196" s="346"/>
      <c r="AR196" s="1"/>
      <c r="AS196" s="1"/>
    </row>
    <row r="197" spans="1:45" ht="12.75">
      <c r="A197" s="291" t="s">
        <v>111</v>
      </c>
      <c r="B197" s="293">
        <v>521000</v>
      </c>
      <c r="C197" s="294">
        <v>0.46630000000000005</v>
      </c>
      <c r="D197" s="606">
        <v>-4.35</v>
      </c>
      <c r="E197" s="294">
        <v>49.63921771817413</v>
      </c>
      <c r="F197" s="305"/>
      <c r="G197" s="300"/>
      <c r="H197" s="300"/>
      <c r="I197" s="293">
        <v>1916.1666666666667</v>
      </c>
      <c r="J197" s="294"/>
      <c r="K197" s="297">
        <v>0.41</v>
      </c>
      <c r="L197" s="297">
        <v>0.399</v>
      </c>
      <c r="M197" s="297">
        <v>0.402</v>
      </c>
      <c r="N197" s="297">
        <v>0.392</v>
      </c>
      <c r="O197" s="297">
        <v>0.395</v>
      </c>
      <c r="P197" s="297">
        <v>0.423</v>
      </c>
      <c r="Q197" s="363"/>
      <c r="R197" s="363"/>
      <c r="S197" s="363"/>
      <c r="T197" s="363"/>
      <c r="U197" s="363"/>
      <c r="V197" s="363"/>
      <c r="W197" s="363"/>
      <c r="X197" s="363"/>
      <c r="Y197" s="363"/>
      <c r="Z197" s="363"/>
      <c r="AA197" s="363"/>
      <c r="AB197" s="363"/>
      <c r="AC197" s="363"/>
      <c r="AD197" s="363"/>
      <c r="AE197" s="238"/>
      <c r="AF197" s="238"/>
      <c r="AG197" s="271"/>
      <c r="AH197" s="272"/>
      <c r="AI197" s="273"/>
      <c r="AJ197" s="40"/>
      <c r="AK197" s="40"/>
      <c r="AL197" s="399"/>
      <c r="AM197" s="396"/>
      <c r="AN197" s="398"/>
      <c r="AO197" s="396"/>
      <c r="AP197" s="346"/>
      <c r="AQ197" s="346"/>
      <c r="AR197" s="1"/>
      <c r="AS197" s="1"/>
    </row>
    <row r="198" spans="1:45" ht="12.75">
      <c r="A198" s="291" t="s">
        <v>188</v>
      </c>
      <c r="B198" s="293">
        <v>9292000</v>
      </c>
      <c r="C198" s="294">
        <v>0.09559999999999998</v>
      </c>
      <c r="D198" s="606">
        <v>-2.7</v>
      </c>
      <c r="E198" s="305"/>
      <c r="F198" s="294">
        <v>0.9</v>
      </c>
      <c r="G198" s="295"/>
      <c r="H198" s="295"/>
      <c r="I198" s="308"/>
      <c r="J198" s="294"/>
      <c r="K198" s="297">
        <v>0.098</v>
      </c>
      <c r="L198" s="297">
        <v>0.095</v>
      </c>
      <c r="M198" s="297">
        <v>0.092</v>
      </c>
      <c r="N198" s="297">
        <v>0.089</v>
      </c>
      <c r="O198" s="297">
        <v>0.086</v>
      </c>
      <c r="P198" s="297">
        <v>0.084</v>
      </c>
      <c r="Q198" s="363"/>
      <c r="R198" s="363"/>
      <c r="S198" s="363"/>
      <c r="T198" s="363"/>
      <c r="U198" s="363"/>
      <c r="V198" s="363"/>
      <c r="W198" s="363"/>
      <c r="X198" s="363"/>
      <c r="Y198" s="363"/>
      <c r="Z198" s="363"/>
      <c r="AA198" s="363"/>
      <c r="AB198" s="363"/>
      <c r="AC198" s="363"/>
      <c r="AD198" s="363"/>
      <c r="AE198" s="238"/>
      <c r="AF198" s="238"/>
      <c r="AG198" s="271"/>
      <c r="AH198" s="272"/>
      <c r="AI198" s="273"/>
      <c r="AJ198" s="40"/>
      <c r="AK198" s="40"/>
      <c r="AL198" s="401"/>
      <c r="AM198" s="404"/>
      <c r="AN198" s="398"/>
      <c r="AO198" s="396"/>
      <c r="AP198" s="346"/>
      <c r="AQ198" s="346"/>
      <c r="AR198" s="1"/>
      <c r="AS198" s="1"/>
    </row>
    <row r="199" spans="1:45" ht="12.75">
      <c r="A199" s="291" t="s">
        <v>112</v>
      </c>
      <c r="B199" s="293">
        <v>48367000</v>
      </c>
      <c r="C199" s="294">
        <v>8.1836</v>
      </c>
      <c r="D199" s="606">
        <v>0</v>
      </c>
      <c r="E199" s="294">
        <v>65.5</v>
      </c>
      <c r="F199" s="294">
        <v>0.98</v>
      </c>
      <c r="G199" s="295">
        <v>0.06156400427883759</v>
      </c>
      <c r="H199" s="295">
        <v>0.06211190825700719</v>
      </c>
      <c r="I199" s="293">
        <v>7516.833333333333</v>
      </c>
      <c r="J199" s="294"/>
      <c r="K199" s="297">
        <v>8.566</v>
      </c>
      <c r="L199" s="297">
        <v>8.617</v>
      </c>
      <c r="M199" s="297">
        <v>8.247</v>
      </c>
      <c r="N199" s="297">
        <v>8.863</v>
      </c>
      <c r="O199" s="297">
        <v>9.402</v>
      </c>
      <c r="P199" s="297">
        <v>9.109</v>
      </c>
      <c r="Q199" s="363"/>
      <c r="R199" s="363"/>
      <c r="S199" s="363"/>
      <c r="T199" s="363"/>
      <c r="U199" s="363"/>
      <c r="V199" s="363"/>
      <c r="W199" s="363"/>
      <c r="X199" s="363"/>
      <c r="Y199" s="363"/>
      <c r="Z199" s="363"/>
      <c r="AA199" s="363"/>
      <c r="AB199" s="363"/>
      <c r="AC199" s="363"/>
      <c r="AD199" s="363"/>
      <c r="AE199" s="238"/>
      <c r="AF199" s="238"/>
      <c r="AG199" s="271"/>
      <c r="AH199" s="272"/>
      <c r="AI199" s="273"/>
      <c r="AJ199" s="40"/>
      <c r="AK199" s="40"/>
      <c r="AL199" s="401"/>
      <c r="AM199" s="404"/>
      <c r="AN199" s="398"/>
      <c r="AO199" s="396"/>
      <c r="AP199" s="346"/>
      <c r="AQ199" s="346"/>
      <c r="AR199" s="1"/>
      <c r="AS199" s="1"/>
    </row>
    <row r="200" spans="1:45" ht="12.75">
      <c r="A200" s="291" t="s">
        <v>95</v>
      </c>
      <c r="B200" s="293">
        <v>48250000</v>
      </c>
      <c r="C200" s="294">
        <v>7.7738</v>
      </c>
      <c r="D200" s="606">
        <v>-1.65</v>
      </c>
      <c r="E200" s="294">
        <v>77.3</v>
      </c>
      <c r="F200" s="294">
        <v>1.425</v>
      </c>
      <c r="G200" s="295">
        <v>0.3734196299726464</v>
      </c>
      <c r="H200" s="295">
        <v>0.6172711571675302</v>
      </c>
      <c r="I200" s="293">
        <v>19931.833333333332</v>
      </c>
      <c r="J200" s="294"/>
      <c r="K200" s="297">
        <v>9.369</v>
      </c>
      <c r="L200" s="297">
        <v>9.538</v>
      </c>
      <c r="M200" s="297">
        <v>9.843</v>
      </c>
      <c r="N200" s="297">
        <v>10.001</v>
      </c>
      <c r="O200" s="297">
        <v>10.154</v>
      </c>
      <c r="P200" s="297">
        <v>10.286</v>
      </c>
      <c r="Q200" s="363"/>
      <c r="R200" s="363"/>
      <c r="S200" s="363"/>
      <c r="T200" s="363"/>
      <c r="U200" s="363"/>
      <c r="V200" s="363"/>
      <c r="W200" s="363"/>
      <c r="X200" s="363"/>
      <c r="Y200" s="363"/>
      <c r="Z200" s="363"/>
      <c r="AA200" s="363"/>
      <c r="AB200" s="363"/>
      <c r="AC200" s="363"/>
      <c r="AD200" s="363"/>
      <c r="AE200" s="238"/>
      <c r="AF200" s="238"/>
      <c r="AG200" s="271"/>
      <c r="AH200" s="272"/>
      <c r="AI200" s="273"/>
      <c r="AJ200" s="40"/>
      <c r="AK200" s="40"/>
      <c r="AL200" s="401"/>
      <c r="AM200" s="404"/>
      <c r="AN200" s="398"/>
      <c r="AO200" s="396"/>
      <c r="AP200" s="346"/>
      <c r="AQ200" s="346"/>
      <c r="AR200" s="1"/>
      <c r="AS200" s="1"/>
    </row>
    <row r="201" spans="1:45" ht="12.75">
      <c r="A201" s="291" t="s">
        <v>37</v>
      </c>
      <c r="B201" s="293">
        <v>45212000</v>
      </c>
      <c r="C201" s="294">
        <v>6.2618</v>
      </c>
      <c r="D201" s="606">
        <v>10.35</v>
      </c>
      <c r="E201" s="294">
        <v>81.15</v>
      </c>
      <c r="F201" s="294">
        <v>2.4</v>
      </c>
      <c r="G201" s="295">
        <v>0.3332691734551957</v>
      </c>
      <c r="H201" s="295">
        <v>0.3220015335161756</v>
      </c>
      <c r="I201" s="293">
        <v>24343</v>
      </c>
      <c r="J201" s="294"/>
      <c r="K201" s="297">
        <v>7.822</v>
      </c>
      <c r="L201" s="297">
        <v>7.851</v>
      </c>
      <c r="M201" s="297">
        <v>8.166</v>
      </c>
      <c r="N201" s="297">
        <v>8.245</v>
      </c>
      <c r="O201" s="297">
        <v>8.601</v>
      </c>
      <c r="P201" s="297">
        <v>8.761</v>
      </c>
      <c r="Q201" s="363"/>
      <c r="R201" s="363"/>
      <c r="S201" s="363"/>
      <c r="T201" s="363"/>
      <c r="U201" s="363"/>
      <c r="V201" s="363"/>
      <c r="W201" s="363"/>
      <c r="X201" s="363"/>
      <c r="Y201" s="363"/>
      <c r="Z201" s="363"/>
      <c r="AA201" s="363"/>
      <c r="AB201" s="363"/>
      <c r="AC201" s="363"/>
      <c r="AD201" s="363"/>
      <c r="AE201" s="238"/>
      <c r="AF201" s="238"/>
      <c r="AG201" s="274"/>
      <c r="AH201" s="275"/>
      <c r="AI201" s="273"/>
      <c r="AJ201" s="40"/>
      <c r="AK201" s="40"/>
      <c r="AL201" s="401"/>
      <c r="AM201" s="404"/>
      <c r="AN201" s="398"/>
      <c r="AO201" s="396"/>
      <c r="AP201" s="346"/>
      <c r="AQ201" s="346"/>
      <c r="AR201" s="1"/>
      <c r="AS201" s="1"/>
    </row>
    <row r="202" spans="1:45" ht="12.75">
      <c r="A202" s="291" t="s">
        <v>65</v>
      </c>
      <c r="B202" s="293">
        <v>20926000</v>
      </c>
      <c r="C202" s="294">
        <v>0.39110000000000006</v>
      </c>
      <c r="D202" s="606">
        <v>-9.75</v>
      </c>
      <c r="E202" s="294">
        <v>72.05</v>
      </c>
      <c r="F202" s="294">
        <v>0.68</v>
      </c>
      <c r="G202" s="300"/>
      <c r="H202" s="300"/>
      <c r="I202" s="293">
        <v>3005</v>
      </c>
      <c r="J202" s="294"/>
      <c r="K202" s="297">
        <v>0.583</v>
      </c>
      <c r="L202" s="297">
        <v>0.564</v>
      </c>
      <c r="M202" s="297">
        <v>0.571</v>
      </c>
      <c r="N202" s="297">
        <v>0.583</v>
      </c>
      <c r="O202" s="297">
        <v>0.583</v>
      </c>
      <c r="P202" s="297">
        <v>0.628</v>
      </c>
      <c r="Q202" s="363"/>
      <c r="R202" s="363"/>
      <c r="S202" s="363"/>
      <c r="T202" s="363"/>
      <c r="U202" s="363"/>
      <c r="V202" s="363"/>
      <c r="W202" s="363"/>
      <c r="X202" s="363"/>
      <c r="Y202" s="363"/>
      <c r="Z202" s="363"/>
      <c r="AA202" s="363"/>
      <c r="AB202" s="363"/>
      <c r="AC202" s="363"/>
      <c r="AD202" s="363"/>
      <c r="AE202" s="238"/>
      <c r="AF202" s="238"/>
      <c r="AG202" s="271"/>
      <c r="AH202" s="273"/>
      <c r="AI202" s="273"/>
      <c r="AJ202" s="40"/>
      <c r="AK202" s="40"/>
      <c r="AL202" s="401"/>
      <c r="AM202" s="404"/>
      <c r="AN202" s="398"/>
      <c r="AO202" s="396"/>
      <c r="AP202" s="346"/>
      <c r="AQ202" s="346"/>
      <c r="AR202" s="1"/>
      <c r="AS202" s="1"/>
    </row>
    <row r="203" spans="1:45" ht="12.75">
      <c r="A203" s="291" t="s">
        <v>124</v>
      </c>
      <c r="B203" s="293">
        <v>40526000</v>
      </c>
      <c r="C203" s="294">
        <v>0.1525</v>
      </c>
      <c r="D203" s="606">
        <v>-3.75</v>
      </c>
      <c r="E203" s="294">
        <v>49.75</v>
      </c>
      <c r="F203" s="294">
        <v>1.515</v>
      </c>
      <c r="G203" s="300"/>
      <c r="H203" s="300"/>
      <c r="I203" s="293">
        <v>1418.6666666666667</v>
      </c>
      <c r="J203" s="294"/>
      <c r="K203" s="297">
        <v>0.191</v>
      </c>
      <c r="L203" s="297">
        <v>0.213</v>
      </c>
      <c r="M203" s="297">
        <v>0.241</v>
      </c>
      <c r="N203" s="297">
        <v>0.267</v>
      </c>
      <c r="O203" s="297">
        <v>0.287</v>
      </c>
      <c r="P203" s="297">
        <v>0.297</v>
      </c>
      <c r="Q203" s="363"/>
      <c r="R203" s="363"/>
      <c r="S203" s="363"/>
      <c r="T203" s="363"/>
      <c r="U203" s="363"/>
      <c r="V203" s="363"/>
      <c r="W203" s="363"/>
      <c r="X203" s="363"/>
      <c r="Y203" s="363"/>
      <c r="Z203" s="363"/>
      <c r="AA203" s="363"/>
      <c r="AB203" s="363"/>
      <c r="AC203" s="363"/>
      <c r="AD203" s="363"/>
      <c r="AE203" s="238"/>
      <c r="AF203" s="238"/>
      <c r="AG203" s="271"/>
      <c r="AH203" s="272"/>
      <c r="AI203" s="273"/>
      <c r="AJ203" s="40"/>
      <c r="AK203" s="40"/>
      <c r="AL203" s="401"/>
      <c r="AM203" s="404"/>
      <c r="AN203" s="398"/>
      <c r="AO203" s="396"/>
      <c r="AP203" s="346"/>
      <c r="AQ203" s="346"/>
      <c r="AR203" s="1"/>
      <c r="AS203" s="1"/>
    </row>
    <row r="204" spans="1:45" ht="12.75">
      <c r="A204" s="291" t="s">
        <v>49</v>
      </c>
      <c r="B204" s="293">
        <v>471000</v>
      </c>
      <c r="C204" s="294">
        <v>3.7062</v>
      </c>
      <c r="D204" s="606">
        <v>0</v>
      </c>
      <c r="E204" s="294">
        <v>78.33331171656468</v>
      </c>
      <c r="F204" s="305"/>
      <c r="G204" s="300"/>
      <c r="H204" s="300"/>
      <c r="I204" s="298">
        <v>5164.666666666667</v>
      </c>
      <c r="J204" s="294"/>
      <c r="K204" s="299">
        <v>3.721</v>
      </c>
      <c r="L204" s="299">
        <v>3.869</v>
      </c>
      <c r="M204" s="299">
        <v>4.023</v>
      </c>
      <c r="N204" s="299">
        <v>4.074</v>
      </c>
      <c r="O204" s="299">
        <v>4.198</v>
      </c>
      <c r="P204" s="299">
        <v>4.281</v>
      </c>
      <c r="Q204" s="363"/>
      <c r="R204" s="363"/>
      <c r="S204" s="363"/>
      <c r="T204" s="363"/>
      <c r="U204" s="363"/>
      <c r="V204" s="363"/>
      <c r="W204" s="363"/>
      <c r="X204" s="363"/>
      <c r="Y204" s="363"/>
      <c r="Z204" s="363"/>
      <c r="AA204" s="363"/>
      <c r="AB204" s="363"/>
      <c r="AC204" s="363"/>
      <c r="AD204" s="363"/>
      <c r="AE204" s="238"/>
      <c r="AF204" s="238"/>
      <c r="AG204" s="271"/>
      <c r="AH204" s="272"/>
      <c r="AI204" s="273"/>
      <c r="AJ204" s="40"/>
      <c r="AK204" s="40"/>
      <c r="AL204" s="401"/>
      <c r="AM204" s="404"/>
      <c r="AN204" s="398"/>
      <c r="AO204" s="396"/>
      <c r="AP204" s="346"/>
      <c r="AQ204" s="346"/>
      <c r="AR204" s="1"/>
      <c r="AS204" s="1"/>
    </row>
    <row r="205" spans="1:45" ht="12.75">
      <c r="A205" s="291" t="s">
        <v>101</v>
      </c>
      <c r="B205" s="293">
        <v>1300000</v>
      </c>
      <c r="C205" s="294">
        <v>0.8131</v>
      </c>
      <c r="D205" s="606">
        <v>6.15</v>
      </c>
      <c r="E205" s="294">
        <v>57.6</v>
      </c>
      <c r="F205" s="294">
        <v>0.785</v>
      </c>
      <c r="G205" s="300"/>
      <c r="H205" s="300"/>
      <c r="I205" s="293">
        <v>4359.333333333333</v>
      </c>
      <c r="J205" s="294"/>
      <c r="K205" s="297">
        <v>1.018</v>
      </c>
      <c r="L205" s="297">
        <v>0.985</v>
      </c>
      <c r="M205" s="297">
        <v>1.321</v>
      </c>
      <c r="N205" s="297">
        <v>1.129</v>
      </c>
      <c r="O205" s="297">
        <v>1.172</v>
      </c>
      <c r="P205" s="297">
        <v>0.757</v>
      </c>
      <c r="Q205" s="363"/>
      <c r="R205" s="363"/>
      <c r="S205" s="363"/>
      <c r="T205" s="363"/>
      <c r="U205" s="363"/>
      <c r="V205" s="363"/>
      <c r="W205" s="363"/>
      <c r="X205" s="363"/>
      <c r="Y205" s="363"/>
      <c r="Z205" s="363"/>
      <c r="AA205" s="363"/>
      <c r="AB205" s="363"/>
      <c r="AC205" s="363"/>
      <c r="AD205" s="363"/>
      <c r="AE205" s="238"/>
      <c r="AF205" s="238"/>
      <c r="AG205" s="271"/>
      <c r="AH205" s="272"/>
      <c r="AI205" s="273"/>
      <c r="AJ205" s="40"/>
      <c r="AK205" s="40"/>
      <c r="AL205" s="401"/>
      <c r="AM205" s="404"/>
      <c r="AN205" s="398"/>
      <c r="AO205" s="396"/>
      <c r="AP205" s="346"/>
      <c r="AQ205" s="346"/>
      <c r="AR205" s="1"/>
      <c r="AS205" s="1"/>
    </row>
    <row r="206" spans="1:45" ht="12.75">
      <c r="A206" s="291" t="s">
        <v>19</v>
      </c>
      <c r="B206" s="293">
        <v>9031000</v>
      </c>
      <c r="C206" s="294">
        <v>7.1051</v>
      </c>
      <c r="D206" s="606">
        <v>3.3</v>
      </c>
      <c r="E206" s="294">
        <v>90.45</v>
      </c>
      <c r="F206" s="294">
        <v>3.78</v>
      </c>
      <c r="G206" s="295">
        <v>1.860186230248307</v>
      </c>
      <c r="H206" s="295">
        <v>1.799819141475658</v>
      </c>
      <c r="I206" s="293">
        <v>30179.833333333332</v>
      </c>
      <c r="J206" s="294"/>
      <c r="K206" s="297">
        <v>6.797</v>
      </c>
      <c r="L206" s="297">
        <v>6.738</v>
      </c>
      <c r="M206" s="297">
        <v>6.377</v>
      </c>
      <c r="N206" s="297">
        <v>6.773</v>
      </c>
      <c r="O206" s="297">
        <v>6.718</v>
      </c>
      <c r="P206" s="297">
        <v>6.4</v>
      </c>
      <c r="Q206" s="363"/>
      <c r="R206" s="363"/>
      <c r="S206" s="363"/>
      <c r="T206" s="363"/>
      <c r="U206" s="363"/>
      <c r="V206" s="363"/>
      <c r="W206" s="363"/>
      <c r="X206" s="363"/>
      <c r="Y206" s="363"/>
      <c r="Z206" s="363"/>
      <c r="AA206" s="363"/>
      <c r="AB206" s="363"/>
      <c r="AC206" s="363"/>
      <c r="AD206" s="363"/>
      <c r="AE206" s="238"/>
      <c r="AF206" s="238"/>
      <c r="AG206" s="271"/>
      <c r="AH206" s="272"/>
      <c r="AI206" s="273"/>
      <c r="AJ206" s="40"/>
      <c r="AK206" s="40"/>
      <c r="AL206" s="401"/>
      <c r="AM206" s="404"/>
      <c r="AN206" s="398"/>
      <c r="AO206" s="396"/>
      <c r="AP206" s="346"/>
      <c r="AQ206" s="346"/>
      <c r="AR206" s="1"/>
      <c r="AS206" s="1"/>
    </row>
    <row r="207" spans="1:45" ht="12.75">
      <c r="A207" s="291" t="s">
        <v>17</v>
      </c>
      <c r="B207" s="293">
        <v>7589000</v>
      </c>
      <c r="C207" s="294">
        <v>6.261899999999999</v>
      </c>
      <c r="D207" s="606">
        <v>2.4</v>
      </c>
      <c r="E207" s="294">
        <v>88.45</v>
      </c>
      <c r="F207" s="294">
        <v>1.405</v>
      </c>
      <c r="G207" s="295">
        <v>0.8151795657015588</v>
      </c>
      <c r="H207" s="295">
        <v>0.7950103219572189</v>
      </c>
      <c r="I207" s="293">
        <v>33652.666666666664</v>
      </c>
      <c r="J207" s="294"/>
      <c r="K207" s="297">
        <v>6.225</v>
      </c>
      <c r="L207" s="297">
        <v>6.252</v>
      </c>
      <c r="M207" s="297">
        <v>5.995</v>
      </c>
      <c r="N207" s="297">
        <v>6.057</v>
      </c>
      <c r="O207" s="297">
        <v>6.075</v>
      </c>
      <c r="P207" s="297">
        <v>6.081</v>
      </c>
      <c r="Q207" s="363"/>
      <c r="R207" s="363"/>
      <c r="S207" s="363"/>
      <c r="T207" s="363"/>
      <c r="U207" s="363"/>
      <c r="V207" s="363"/>
      <c r="W207" s="363"/>
      <c r="X207" s="363"/>
      <c r="Y207" s="363"/>
      <c r="Z207" s="363"/>
      <c r="AA207" s="363"/>
      <c r="AB207" s="363"/>
      <c r="AC207" s="363"/>
      <c r="AD207" s="363"/>
      <c r="AE207" s="238"/>
      <c r="AF207" s="238"/>
      <c r="AG207" s="271"/>
      <c r="AH207" s="272"/>
      <c r="AI207" s="273"/>
      <c r="AJ207" s="40"/>
      <c r="AK207" s="40"/>
      <c r="AL207" s="401"/>
      <c r="AM207" s="404"/>
      <c r="AN207" s="398"/>
      <c r="AO207" s="396"/>
      <c r="AP207" s="346"/>
      <c r="AQ207" s="346"/>
      <c r="AR207" s="1"/>
      <c r="AS207" s="1"/>
    </row>
    <row r="208" spans="1:45" ht="12.75">
      <c r="A208" s="291" t="s">
        <v>63</v>
      </c>
      <c r="B208" s="293">
        <v>20488000</v>
      </c>
      <c r="C208" s="294">
        <v>2.8681000000000005</v>
      </c>
      <c r="D208" s="606">
        <v>0.75</v>
      </c>
      <c r="E208" s="294">
        <v>61.75</v>
      </c>
      <c r="F208" s="294">
        <v>0.925</v>
      </c>
      <c r="G208" s="300"/>
      <c r="H208" s="300"/>
      <c r="I208" s="293">
        <v>3677.1666666666665</v>
      </c>
      <c r="J208" s="294"/>
      <c r="K208" s="297">
        <v>3.096</v>
      </c>
      <c r="L208" s="297">
        <v>2.922</v>
      </c>
      <c r="M208" s="297">
        <v>3.031</v>
      </c>
      <c r="N208" s="297">
        <v>2.983</v>
      </c>
      <c r="O208" s="297">
        <v>2.911</v>
      </c>
      <c r="P208" s="297">
        <v>2.751</v>
      </c>
      <c r="Q208" s="363"/>
      <c r="R208" s="363"/>
      <c r="S208" s="363"/>
      <c r="T208" s="363"/>
      <c r="U208" s="363"/>
      <c r="V208" s="363"/>
      <c r="W208" s="363"/>
      <c r="X208" s="363"/>
      <c r="Y208" s="363"/>
      <c r="Z208" s="363"/>
      <c r="AA208" s="363"/>
      <c r="AB208" s="363"/>
      <c r="AC208" s="363"/>
      <c r="AD208" s="363"/>
      <c r="AE208" s="238"/>
      <c r="AF208" s="238"/>
      <c r="AG208" s="274"/>
      <c r="AH208" s="275"/>
      <c r="AI208" s="273"/>
      <c r="AJ208" s="40"/>
      <c r="AK208" s="40"/>
      <c r="AL208" s="401"/>
      <c r="AM208" s="404"/>
      <c r="AN208" s="398"/>
      <c r="AO208" s="396"/>
      <c r="AP208" s="346"/>
      <c r="AQ208" s="346"/>
      <c r="AR208" s="1"/>
      <c r="AS208" s="1"/>
    </row>
    <row r="209" spans="1:45" ht="12.75">
      <c r="A209" s="291" t="s">
        <v>192</v>
      </c>
      <c r="B209" s="293">
        <v>22859000</v>
      </c>
      <c r="C209" s="294">
        <v>8.106300000000001</v>
      </c>
      <c r="D209" s="608"/>
      <c r="E209" s="294">
        <v>79.95</v>
      </c>
      <c r="F209" s="305"/>
      <c r="G209" s="295">
        <v>0.37540760869565215</v>
      </c>
      <c r="H209" s="295">
        <v>0.4088469895154352</v>
      </c>
      <c r="I209" s="308"/>
      <c r="J209" s="294"/>
      <c r="K209" s="304">
        <v>11.546</v>
      </c>
      <c r="L209" s="304">
        <v>11.096</v>
      </c>
      <c r="M209" s="304">
        <v>12.161</v>
      </c>
      <c r="N209" s="304">
        <v>12.82</v>
      </c>
      <c r="O209" s="304">
        <v>12.607</v>
      </c>
      <c r="P209" s="304">
        <v>12.723</v>
      </c>
      <c r="Q209" s="363"/>
      <c r="R209" s="363"/>
      <c r="S209" s="363"/>
      <c r="T209" s="363"/>
      <c r="U209" s="363"/>
      <c r="V209" s="363"/>
      <c r="W209" s="363"/>
      <c r="X209" s="363"/>
      <c r="Y209" s="363"/>
      <c r="Z209" s="363"/>
      <c r="AA209" s="363"/>
      <c r="AB209" s="363"/>
      <c r="AC209" s="363"/>
      <c r="AD209" s="363"/>
      <c r="AE209" s="238"/>
      <c r="AF209" s="238"/>
      <c r="AG209" s="271"/>
      <c r="AH209" s="273"/>
      <c r="AI209" s="273"/>
      <c r="AJ209" s="40"/>
      <c r="AK209" s="40"/>
      <c r="AL209" s="401"/>
      <c r="AM209" s="404"/>
      <c r="AN209" s="398"/>
      <c r="AO209" s="396"/>
      <c r="AP209" s="346"/>
      <c r="AQ209" s="346"/>
      <c r="AR209" s="1"/>
      <c r="AS209" s="1"/>
    </row>
    <row r="210" spans="1:45" ht="12.75">
      <c r="A210" s="291" t="s">
        <v>109</v>
      </c>
      <c r="B210" s="293">
        <v>7077000</v>
      </c>
      <c r="C210" s="294">
        <v>0.915</v>
      </c>
      <c r="D210" s="606">
        <v>0</v>
      </c>
      <c r="E210" s="294">
        <v>60.25</v>
      </c>
      <c r="F210" s="294">
        <v>0.415</v>
      </c>
      <c r="G210" s="300"/>
      <c r="H210" s="300"/>
      <c r="I210" s="293">
        <v>1145.8333333333333</v>
      </c>
      <c r="J210" s="294"/>
      <c r="K210" s="297">
        <v>0.956</v>
      </c>
      <c r="L210" s="297">
        <v>0.975</v>
      </c>
      <c r="M210" s="297">
        <v>0.939</v>
      </c>
      <c r="N210" s="297">
        <v>1.016</v>
      </c>
      <c r="O210" s="297">
        <v>1.063</v>
      </c>
      <c r="P210" s="297">
        <v>1.1</v>
      </c>
      <c r="Q210" s="363"/>
      <c r="R210" s="363"/>
      <c r="S210" s="363"/>
      <c r="T210" s="363"/>
      <c r="U210" s="363"/>
      <c r="V210" s="363"/>
      <c r="W210" s="363"/>
      <c r="X210" s="363"/>
      <c r="Y210" s="363"/>
      <c r="Z210" s="363"/>
      <c r="AA210" s="363"/>
      <c r="AB210" s="363"/>
      <c r="AC210" s="363"/>
      <c r="AD210" s="363"/>
      <c r="AE210" s="238"/>
      <c r="AF210" s="238"/>
      <c r="AG210" s="271"/>
      <c r="AH210" s="272"/>
      <c r="AI210" s="273"/>
      <c r="AJ210" s="40"/>
      <c r="AK210" s="40"/>
      <c r="AL210" s="401"/>
      <c r="AM210" s="404"/>
      <c r="AN210" s="398"/>
      <c r="AO210" s="396"/>
      <c r="AP210" s="346"/>
      <c r="AQ210" s="346"/>
      <c r="AR210" s="1"/>
      <c r="AS210" s="1"/>
    </row>
    <row r="211" spans="1:45" ht="12.75">
      <c r="A211" s="291" t="s">
        <v>121</v>
      </c>
      <c r="B211" s="293">
        <v>39384000</v>
      </c>
      <c r="C211" s="294">
        <v>0.08899999999999998</v>
      </c>
      <c r="D211" s="606">
        <v>-10.2</v>
      </c>
      <c r="E211" s="294">
        <v>61.45</v>
      </c>
      <c r="F211" s="294">
        <v>0.83</v>
      </c>
      <c r="G211" s="300"/>
      <c r="H211" s="300"/>
      <c r="I211" s="293">
        <v>900.5</v>
      </c>
      <c r="J211" s="294"/>
      <c r="K211" s="297">
        <v>0.081</v>
      </c>
      <c r="L211" s="297">
        <v>0.089</v>
      </c>
      <c r="M211" s="297">
        <v>0.099</v>
      </c>
      <c r="N211" s="297">
        <v>0.101</v>
      </c>
      <c r="O211" s="297">
        <v>0.114</v>
      </c>
      <c r="P211" s="297">
        <v>0.134</v>
      </c>
      <c r="Q211" s="363"/>
      <c r="R211" s="363"/>
      <c r="S211" s="363"/>
      <c r="T211" s="363"/>
      <c r="U211" s="363"/>
      <c r="V211" s="363"/>
      <c r="W211" s="363"/>
      <c r="X211" s="363"/>
      <c r="Y211" s="363"/>
      <c r="Z211" s="363"/>
      <c r="AA211" s="363"/>
      <c r="AB211" s="363"/>
      <c r="AC211" s="363"/>
      <c r="AD211" s="363"/>
      <c r="AE211" s="238"/>
      <c r="AF211" s="238"/>
      <c r="AG211" s="271"/>
      <c r="AH211" s="272"/>
      <c r="AI211" s="273"/>
      <c r="AJ211" s="40"/>
      <c r="AK211" s="40"/>
      <c r="AL211" s="401"/>
      <c r="AM211" s="404"/>
      <c r="AN211" s="398"/>
      <c r="AO211" s="396"/>
      <c r="AP211" s="346"/>
      <c r="AQ211" s="346"/>
      <c r="AR211" s="1"/>
      <c r="AS211" s="1"/>
    </row>
    <row r="212" spans="1:45" ht="12.75">
      <c r="A212" s="291" t="s">
        <v>72</v>
      </c>
      <c r="B212" s="293">
        <v>65717000</v>
      </c>
      <c r="C212" s="294">
        <v>2.2845</v>
      </c>
      <c r="D212" s="606">
        <v>-1.95</v>
      </c>
      <c r="E212" s="294">
        <v>73</v>
      </c>
      <c r="F212" s="294">
        <v>0.985</v>
      </c>
      <c r="G212" s="295"/>
      <c r="H212" s="295"/>
      <c r="I212" s="293">
        <v>5649.5</v>
      </c>
      <c r="J212" s="294"/>
      <c r="K212" s="297">
        <v>2.602</v>
      </c>
      <c r="L212" s="297">
        <v>2.744</v>
      </c>
      <c r="M212" s="297">
        <v>2.959</v>
      </c>
      <c r="N212" s="297">
        <v>3.227</v>
      </c>
      <c r="O212" s="297">
        <v>3.51</v>
      </c>
      <c r="P212" s="297">
        <v>3.734</v>
      </c>
      <c r="Q212" s="363"/>
      <c r="R212" s="363"/>
      <c r="S212" s="363"/>
      <c r="T212" s="363"/>
      <c r="U212" s="363"/>
      <c r="V212" s="363"/>
      <c r="W212" s="363"/>
      <c r="X212" s="363"/>
      <c r="Y212" s="363"/>
      <c r="Z212" s="363"/>
      <c r="AA212" s="363"/>
      <c r="AB212" s="363"/>
      <c r="AC212" s="363"/>
      <c r="AD212" s="363"/>
      <c r="AE212" s="238"/>
      <c r="AF212" s="238"/>
      <c r="AG212" s="271"/>
      <c r="AH212" s="272"/>
      <c r="AI212" s="273"/>
      <c r="AJ212" s="40"/>
      <c r="AK212" s="40"/>
      <c r="AL212" s="401"/>
      <c r="AM212" s="404"/>
      <c r="AN212" s="398"/>
      <c r="AO212" s="396"/>
      <c r="AP212" s="346"/>
      <c r="AQ212" s="346"/>
      <c r="AR212" s="1"/>
      <c r="AS212" s="1"/>
    </row>
    <row r="213" spans="1:45" ht="12.75">
      <c r="A213" s="291" t="s">
        <v>185</v>
      </c>
      <c r="B213" s="293">
        <v>1086000</v>
      </c>
      <c r="C213" s="305"/>
      <c r="D213" s="606">
        <v>-16.95</v>
      </c>
      <c r="E213" s="305"/>
      <c r="F213" s="294">
        <v>0.39027715684508457</v>
      </c>
      <c r="G213" s="295"/>
      <c r="H213" s="295"/>
      <c r="I213" s="293">
        <v>682.5</v>
      </c>
      <c r="J213" s="294"/>
      <c r="K213" s="304"/>
      <c r="L213" s="304"/>
      <c r="M213" s="297"/>
      <c r="N213" s="297">
        <v>0.288</v>
      </c>
      <c r="O213" s="297">
        <v>0.297</v>
      </c>
      <c r="P213" s="297">
        <v>0.293</v>
      </c>
      <c r="Q213" s="363"/>
      <c r="R213" s="363"/>
      <c r="S213" s="363"/>
      <c r="T213" s="363"/>
      <c r="U213" s="363"/>
      <c r="V213" s="363"/>
      <c r="W213" s="363"/>
      <c r="X213" s="363"/>
      <c r="Y213" s="363"/>
      <c r="Z213" s="363"/>
      <c r="AA213" s="363"/>
      <c r="AB213" s="363"/>
      <c r="AC213" s="363"/>
      <c r="AD213" s="363"/>
      <c r="AE213" s="238"/>
      <c r="AF213" s="238"/>
      <c r="AG213" s="271"/>
      <c r="AH213" s="272"/>
      <c r="AI213" s="273"/>
      <c r="AJ213" s="40"/>
      <c r="AK213" s="40"/>
      <c r="AL213" s="401"/>
      <c r="AM213" s="404"/>
      <c r="AN213" s="398"/>
      <c r="AO213" s="396"/>
      <c r="AP213" s="346"/>
      <c r="AQ213" s="346"/>
      <c r="AR213" s="1"/>
      <c r="AS213" s="1"/>
    </row>
    <row r="214" spans="1:45" ht="12.75">
      <c r="A214" s="291" t="s">
        <v>151</v>
      </c>
      <c r="B214" s="293">
        <v>6042000</v>
      </c>
      <c r="C214" s="294">
        <v>0.16820000000000002</v>
      </c>
      <c r="D214" s="606">
        <v>-8.25</v>
      </c>
      <c r="E214" s="294">
        <v>57.55</v>
      </c>
      <c r="F214" s="294">
        <v>0.81</v>
      </c>
      <c r="G214" s="295"/>
      <c r="H214" s="295"/>
      <c r="I214" s="293">
        <v>806</v>
      </c>
      <c r="J214" s="294"/>
      <c r="K214" s="297">
        <v>0.281</v>
      </c>
      <c r="L214" s="297">
        <v>0.196</v>
      </c>
      <c r="M214" s="297">
        <v>0.245</v>
      </c>
      <c r="N214" s="297">
        <v>0.397</v>
      </c>
      <c r="O214" s="297">
        <v>0.406</v>
      </c>
      <c r="P214" s="297">
        <v>0.397</v>
      </c>
      <c r="Q214" s="363"/>
      <c r="R214" s="363"/>
      <c r="S214" s="363"/>
      <c r="T214" s="363"/>
      <c r="U214" s="363"/>
      <c r="V214" s="363"/>
      <c r="W214" s="363"/>
      <c r="X214" s="363"/>
      <c r="Y214" s="363"/>
      <c r="Z214" s="363"/>
      <c r="AA214" s="363"/>
      <c r="AB214" s="363"/>
      <c r="AC214" s="363"/>
      <c r="AD214" s="363"/>
      <c r="AE214" s="238"/>
      <c r="AF214" s="238"/>
      <c r="AG214" s="271"/>
      <c r="AH214" s="272"/>
      <c r="AI214" s="273"/>
      <c r="AJ214" s="40"/>
      <c r="AK214" s="40"/>
      <c r="AL214" s="401"/>
      <c r="AM214" s="404"/>
      <c r="AN214" s="398"/>
      <c r="AO214" s="396"/>
      <c r="AP214" s="346"/>
      <c r="AQ214" s="346"/>
      <c r="AR214" s="1"/>
      <c r="AS214" s="1"/>
    </row>
    <row r="215" spans="1:45" ht="12.75">
      <c r="A215" s="291" t="s">
        <v>178</v>
      </c>
      <c r="B215" s="293">
        <v>117000</v>
      </c>
      <c r="C215" s="294">
        <v>1.1927</v>
      </c>
      <c r="D215" s="606">
        <v>0</v>
      </c>
      <c r="E215" s="305"/>
      <c r="F215" s="305"/>
      <c r="G215" s="295"/>
      <c r="H215" s="295"/>
      <c r="I215" s="293">
        <v>3828.5</v>
      </c>
      <c r="J215" s="294"/>
      <c r="K215" s="297">
        <v>1.287</v>
      </c>
      <c r="L215" s="297">
        <v>1.203</v>
      </c>
      <c r="M215" s="297">
        <v>1.078</v>
      </c>
      <c r="N215" s="297">
        <v>1.057</v>
      </c>
      <c r="O215" s="297">
        <v>1.124</v>
      </c>
      <c r="P215" s="297">
        <v>1.3</v>
      </c>
      <c r="Q215" s="363"/>
      <c r="R215" s="363"/>
      <c r="S215" s="363"/>
      <c r="T215" s="363"/>
      <c r="U215" s="363"/>
      <c r="V215" s="363"/>
      <c r="W215" s="363"/>
      <c r="X215" s="363"/>
      <c r="Y215" s="363"/>
      <c r="Z215" s="363"/>
      <c r="AA215" s="363"/>
      <c r="AB215" s="363"/>
      <c r="AC215" s="363"/>
      <c r="AD215" s="363"/>
      <c r="AE215" s="238"/>
      <c r="AF215" s="238"/>
      <c r="AG215" s="274"/>
      <c r="AH215" s="275"/>
      <c r="AI215" s="273"/>
      <c r="AJ215" s="40"/>
      <c r="AK215" s="40"/>
      <c r="AL215" s="401"/>
      <c r="AM215" s="404"/>
      <c r="AN215" s="398"/>
      <c r="AO215" s="396"/>
      <c r="AP215" s="346"/>
      <c r="AQ215" s="346"/>
      <c r="AR215" s="1"/>
      <c r="AS215" s="1"/>
    </row>
    <row r="216" spans="1:45" ht="12.75">
      <c r="A216" s="291" t="s">
        <v>103</v>
      </c>
      <c r="B216" s="293">
        <v>1233000</v>
      </c>
      <c r="C216" s="294">
        <v>17.415600000000005</v>
      </c>
      <c r="D216" s="606">
        <v>-3.3</v>
      </c>
      <c r="E216" s="294">
        <v>73.65</v>
      </c>
      <c r="F216" s="294">
        <v>0.995</v>
      </c>
      <c r="G216" s="295"/>
      <c r="H216" s="295"/>
      <c r="I216" s="293">
        <v>15801.833333333334</v>
      </c>
      <c r="J216" s="294"/>
      <c r="K216" s="299">
        <v>21.977</v>
      </c>
      <c r="L216" s="299">
        <v>24.026</v>
      </c>
      <c r="M216" s="299">
        <v>24.793</v>
      </c>
      <c r="N216" s="299">
        <v>23.969</v>
      </c>
      <c r="O216" s="299">
        <v>26.273</v>
      </c>
      <c r="P216" s="299">
        <v>31.737</v>
      </c>
      <c r="Q216" s="363"/>
      <c r="R216" s="363"/>
      <c r="S216" s="363"/>
      <c r="T216" s="363"/>
      <c r="U216" s="363"/>
      <c r="V216" s="363"/>
      <c r="W216" s="363"/>
      <c r="X216" s="363"/>
      <c r="Y216" s="363"/>
      <c r="Z216" s="363"/>
      <c r="AA216" s="363"/>
      <c r="AB216" s="363"/>
      <c r="AC216" s="363"/>
      <c r="AD216" s="363"/>
      <c r="AE216" s="238"/>
      <c r="AF216" s="238"/>
      <c r="AG216" s="271"/>
      <c r="AH216" s="272"/>
      <c r="AI216" s="273"/>
      <c r="AJ216" s="40"/>
      <c r="AK216" s="40"/>
      <c r="AL216" s="401"/>
      <c r="AM216" s="404"/>
      <c r="AN216" s="398"/>
      <c r="AO216" s="396"/>
      <c r="AP216" s="346"/>
      <c r="AQ216" s="346"/>
      <c r="AR216" s="1"/>
      <c r="AS216" s="1"/>
    </row>
    <row r="217" spans="1:45" ht="12.75">
      <c r="A217" s="291" t="s">
        <v>78</v>
      </c>
      <c r="B217" s="293">
        <v>10281000</v>
      </c>
      <c r="C217" s="294">
        <v>1.7368</v>
      </c>
      <c r="D217" s="606">
        <v>2.7</v>
      </c>
      <c r="E217" s="294">
        <v>69.05</v>
      </c>
      <c r="F217" s="294">
        <v>1.04</v>
      </c>
      <c r="G217" s="295"/>
      <c r="H217" s="295"/>
      <c r="I217" s="293">
        <v>6185.666666666667</v>
      </c>
      <c r="J217" s="294"/>
      <c r="K217" s="297">
        <v>2.055</v>
      </c>
      <c r="L217" s="297">
        <v>2.215</v>
      </c>
      <c r="M217" s="297">
        <v>2.165</v>
      </c>
      <c r="N217" s="297">
        <v>2.107</v>
      </c>
      <c r="O217" s="297">
        <v>2.116</v>
      </c>
      <c r="P217" s="297">
        <v>2.211</v>
      </c>
      <c r="Q217" s="363"/>
      <c r="R217" s="363"/>
      <c r="S217" s="363"/>
      <c r="T217" s="363"/>
      <c r="U217" s="363"/>
      <c r="V217" s="363"/>
      <c r="W217" s="363"/>
      <c r="X217" s="363"/>
      <c r="Y217" s="363"/>
      <c r="Z217" s="363"/>
      <c r="AA217" s="363"/>
      <c r="AB217" s="363"/>
      <c r="AC217" s="363"/>
      <c r="AD217" s="363"/>
      <c r="AE217" s="238"/>
      <c r="AF217" s="238"/>
      <c r="AG217" s="271"/>
      <c r="AH217" s="272"/>
      <c r="AI217" s="273"/>
      <c r="AJ217" s="40"/>
      <c r="AK217" s="40"/>
      <c r="AL217" s="399"/>
      <c r="AM217" s="404"/>
      <c r="AN217" s="398"/>
      <c r="AO217" s="396"/>
      <c r="AP217" s="346"/>
      <c r="AQ217" s="346"/>
      <c r="AR217" s="1"/>
      <c r="AS217" s="1"/>
    </row>
    <row r="218" spans="1:45" ht="12.75">
      <c r="A218" s="291" t="s">
        <v>81</v>
      </c>
      <c r="B218" s="293">
        <v>74768000</v>
      </c>
      <c r="C218" s="294">
        <v>2.5305</v>
      </c>
      <c r="D218" s="606">
        <v>2.1</v>
      </c>
      <c r="E218" s="294">
        <v>74.35</v>
      </c>
      <c r="F218" s="294">
        <v>1.25</v>
      </c>
      <c r="G218" s="295"/>
      <c r="H218" s="295"/>
      <c r="I218" s="293">
        <v>9543</v>
      </c>
      <c r="J218" s="294"/>
      <c r="K218" s="297">
        <v>2.999</v>
      </c>
      <c r="L218" s="297">
        <v>2.692</v>
      </c>
      <c r="M218" s="297">
        <v>2.8</v>
      </c>
      <c r="N218" s="297">
        <v>2.92</v>
      </c>
      <c r="O218" s="297">
        <v>2.939</v>
      </c>
      <c r="P218" s="297">
        <v>3.177</v>
      </c>
      <c r="Q218" s="363"/>
      <c r="R218" s="363"/>
      <c r="S218" s="363"/>
      <c r="T218" s="363"/>
      <c r="U218" s="363"/>
      <c r="V218" s="363"/>
      <c r="W218" s="363"/>
      <c r="X218" s="363"/>
      <c r="Y218" s="363"/>
      <c r="Z218" s="363"/>
      <c r="AA218" s="363"/>
      <c r="AB218" s="363"/>
      <c r="AC218" s="363"/>
      <c r="AD218" s="363"/>
      <c r="AE218" s="238"/>
      <c r="AF218" s="238"/>
      <c r="AG218" s="271"/>
      <c r="AH218" s="272"/>
      <c r="AI218" s="273"/>
      <c r="AJ218" s="40"/>
      <c r="AK218" s="40"/>
      <c r="AL218" s="401"/>
      <c r="AM218" s="404"/>
      <c r="AN218" s="398"/>
      <c r="AO218" s="396"/>
      <c r="AP218" s="346"/>
      <c r="AQ218" s="346"/>
      <c r="AR218" s="1"/>
      <c r="AS218" s="1"/>
    </row>
    <row r="219" spans="1:45" ht="12.75">
      <c r="A219" s="291" t="s">
        <v>14</v>
      </c>
      <c r="B219" s="293">
        <v>4774000</v>
      </c>
      <c r="C219" s="294">
        <v>4.609</v>
      </c>
      <c r="D219" s="606">
        <v>0</v>
      </c>
      <c r="E219" s="294">
        <v>67.67258553165996</v>
      </c>
      <c r="F219" s="294">
        <v>1.275</v>
      </c>
      <c r="G219" s="300"/>
      <c r="H219" s="300"/>
      <c r="I219" s="293">
        <v>3304</v>
      </c>
      <c r="J219" s="294"/>
      <c r="K219" s="297">
        <v>5.46</v>
      </c>
      <c r="L219" s="297">
        <v>6.696</v>
      </c>
      <c r="M219" s="297">
        <v>7.592</v>
      </c>
      <c r="N219" s="297">
        <v>9.66</v>
      </c>
      <c r="O219" s="297">
        <v>10.202</v>
      </c>
      <c r="P219" s="297">
        <v>10.539</v>
      </c>
      <c r="Q219" s="363"/>
      <c r="R219" s="363"/>
      <c r="S219" s="363"/>
      <c r="T219" s="363"/>
      <c r="U219" s="363"/>
      <c r="V219" s="363"/>
      <c r="W219" s="363"/>
      <c r="X219" s="363"/>
      <c r="Y219" s="363"/>
      <c r="Z219" s="363"/>
      <c r="AA219" s="363"/>
      <c r="AB219" s="363"/>
      <c r="AC219" s="363"/>
      <c r="AD219" s="363"/>
      <c r="AE219" s="238"/>
      <c r="AF219" s="238"/>
      <c r="AG219" s="271"/>
      <c r="AH219" s="272"/>
      <c r="AI219" s="273"/>
      <c r="AJ219" s="40"/>
      <c r="AK219" s="40"/>
      <c r="AL219" s="401"/>
      <c r="AM219" s="404"/>
      <c r="AN219" s="398"/>
      <c r="AO219" s="396"/>
      <c r="AP219" s="346"/>
      <c r="AQ219" s="346"/>
      <c r="AR219" s="1"/>
      <c r="AS219" s="1"/>
    </row>
    <row r="220" spans="1:45" ht="12.75">
      <c r="A220" s="291" t="s">
        <v>115</v>
      </c>
      <c r="B220" s="293">
        <v>30263000</v>
      </c>
      <c r="C220" s="294">
        <v>0.0508</v>
      </c>
      <c r="D220" s="606">
        <v>-10.05</v>
      </c>
      <c r="E220" s="294">
        <v>61.2</v>
      </c>
      <c r="F220" s="294">
        <v>1.21</v>
      </c>
      <c r="G220" s="300"/>
      <c r="H220" s="300"/>
      <c r="I220" s="293">
        <v>790</v>
      </c>
      <c r="J220" s="294"/>
      <c r="K220" s="297">
        <v>0.053</v>
      </c>
      <c r="L220" s="297">
        <v>0.056</v>
      </c>
      <c r="M220" s="297">
        <v>0.057</v>
      </c>
      <c r="N220" s="297">
        <v>0.06</v>
      </c>
      <c r="O220" s="297">
        <v>0.059</v>
      </c>
      <c r="P220" s="297">
        <v>0.06</v>
      </c>
      <c r="Q220" s="363"/>
      <c r="R220" s="363"/>
      <c r="S220" s="363"/>
      <c r="T220" s="363"/>
      <c r="U220" s="363"/>
      <c r="V220" s="363"/>
      <c r="W220" s="363"/>
      <c r="X220" s="363"/>
      <c r="Y220" s="363"/>
      <c r="Z220" s="363"/>
      <c r="AA220" s="363"/>
      <c r="AB220" s="363"/>
      <c r="AC220" s="363"/>
      <c r="AD220" s="363"/>
      <c r="AE220" s="238"/>
      <c r="AF220" s="238"/>
      <c r="AG220" s="271"/>
      <c r="AH220" s="272"/>
      <c r="AI220" s="273"/>
      <c r="AJ220" s="40"/>
      <c r="AK220" s="40"/>
      <c r="AL220" s="401"/>
      <c r="AM220" s="404"/>
      <c r="AN220" s="398"/>
      <c r="AO220" s="396"/>
      <c r="AP220" s="346"/>
      <c r="AQ220" s="346"/>
      <c r="AR220" s="1"/>
      <c r="AS220" s="1"/>
    </row>
    <row r="221" spans="1:45" ht="12.75">
      <c r="A221" s="291" t="s">
        <v>15</v>
      </c>
      <c r="B221" s="293">
        <v>46300000</v>
      </c>
      <c r="C221" s="294">
        <v>7.901625000000001</v>
      </c>
      <c r="D221" s="606">
        <v>0.75</v>
      </c>
      <c r="E221" s="294">
        <v>72.65</v>
      </c>
      <c r="F221" s="294">
        <v>1.21</v>
      </c>
      <c r="G221" s="295">
        <v>0.36020308983016164</v>
      </c>
      <c r="H221" s="295">
        <v>0.410187185025198</v>
      </c>
      <c r="I221" s="293">
        <v>4377.5</v>
      </c>
      <c r="J221" s="294"/>
      <c r="K221" s="297">
        <v>6.629</v>
      </c>
      <c r="L221" s="297">
        <v>6.53</v>
      </c>
      <c r="M221" s="297">
        <v>6.756</v>
      </c>
      <c r="N221" s="297">
        <v>7.453</v>
      </c>
      <c r="O221" s="297">
        <v>7.286</v>
      </c>
      <c r="P221" s="297">
        <v>7.529</v>
      </c>
      <c r="Q221" s="363"/>
      <c r="R221" s="363"/>
      <c r="S221" s="363"/>
      <c r="T221" s="363"/>
      <c r="U221" s="363"/>
      <c r="V221" s="363"/>
      <c r="W221" s="363"/>
      <c r="X221" s="363"/>
      <c r="Y221" s="363"/>
      <c r="Z221" s="363"/>
      <c r="AA221" s="363"/>
      <c r="AB221" s="363"/>
      <c r="AC221" s="363"/>
      <c r="AD221" s="363"/>
      <c r="AE221" s="238"/>
      <c r="AF221" s="238"/>
      <c r="AG221" s="274"/>
      <c r="AH221" s="275"/>
      <c r="AI221" s="273"/>
      <c r="AJ221" s="40"/>
      <c r="AK221" s="40"/>
      <c r="AL221" s="401"/>
      <c r="AM221" s="404"/>
      <c r="AN221" s="398"/>
      <c r="AO221" s="396"/>
      <c r="AP221" s="346"/>
      <c r="AQ221" s="346"/>
      <c r="AR221" s="1"/>
      <c r="AS221" s="1"/>
    </row>
    <row r="222" spans="1:45" ht="12.75">
      <c r="A222" s="291" t="s">
        <v>145</v>
      </c>
      <c r="B222" s="293">
        <v>4444000</v>
      </c>
      <c r="C222" s="294">
        <v>42.7154</v>
      </c>
      <c r="D222" s="606">
        <v>1.2</v>
      </c>
      <c r="E222" s="294">
        <v>68.6</v>
      </c>
      <c r="F222" s="294">
        <v>2.26</v>
      </c>
      <c r="G222" s="300"/>
      <c r="H222" s="300"/>
      <c r="I222" s="298">
        <v>64167.666666666664</v>
      </c>
      <c r="J222" s="294"/>
      <c r="K222" s="297">
        <v>35.946</v>
      </c>
      <c r="L222" s="297">
        <v>34.049</v>
      </c>
      <c r="M222" s="297">
        <v>34.796</v>
      </c>
      <c r="N222" s="297">
        <v>34.071</v>
      </c>
      <c r="O222" s="297">
        <v>34.167</v>
      </c>
      <c r="P222" s="297">
        <v>34.208</v>
      </c>
      <c r="Q222" s="363"/>
      <c r="R222" s="363"/>
      <c r="S222" s="363"/>
      <c r="T222" s="363"/>
      <c r="U222" s="363"/>
      <c r="V222" s="363"/>
      <c r="W222" s="363"/>
      <c r="X222" s="363"/>
      <c r="Y222" s="363"/>
      <c r="Z222" s="363"/>
      <c r="AA222" s="363"/>
      <c r="AB222" s="363"/>
      <c r="AC222" s="363"/>
      <c r="AD222" s="363"/>
      <c r="AE222" s="238"/>
      <c r="AF222" s="238"/>
      <c r="AG222" s="271"/>
      <c r="AH222" s="273"/>
      <c r="AI222" s="273"/>
      <c r="AJ222" s="40"/>
      <c r="AK222" s="40"/>
      <c r="AL222" s="401"/>
      <c r="AM222" s="404"/>
      <c r="AN222" s="398"/>
      <c r="AO222" s="396"/>
      <c r="AP222" s="346"/>
      <c r="AQ222" s="346"/>
      <c r="AR222" s="1"/>
      <c r="AS222" s="1"/>
    </row>
    <row r="223" spans="1:45" ht="12.75">
      <c r="A223" s="291" t="s">
        <v>28</v>
      </c>
      <c r="B223" s="293">
        <v>61506000</v>
      </c>
      <c r="C223" s="294">
        <v>9.9044</v>
      </c>
      <c r="D223" s="606">
        <v>1.35</v>
      </c>
      <c r="E223" s="294">
        <v>85.95</v>
      </c>
      <c r="F223" s="294">
        <v>1.935</v>
      </c>
      <c r="G223" s="295">
        <v>0.356706333712462</v>
      </c>
      <c r="H223" s="295">
        <v>0.32510378391268063</v>
      </c>
      <c r="I223" s="293">
        <v>29474.833333333332</v>
      </c>
      <c r="J223" s="294"/>
      <c r="K223" s="297">
        <v>9.436</v>
      </c>
      <c r="L223" s="297">
        <v>9.606</v>
      </c>
      <c r="M223" s="297">
        <v>9.385</v>
      </c>
      <c r="N223" s="297">
        <v>9.532</v>
      </c>
      <c r="O223" s="297">
        <v>9.663</v>
      </c>
      <c r="P223" s="297">
        <v>9.6</v>
      </c>
      <c r="Q223" s="363"/>
      <c r="R223" s="363"/>
      <c r="S223" s="363"/>
      <c r="T223" s="363"/>
      <c r="U223" s="363"/>
      <c r="V223" s="363"/>
      <c r="W223" s="363"/>
      <c r="X223" s="363"/>
      <c r="Y223" s="363"/>
      <c r="Z223" s="363"/>
      <c r="AA223" s="363"/>
      <c r="AB223" s="363"/>
      <c r="AC223" s="363"/>
      <c r="AD223" s="363"/>
      <c r="AE223" s="238"/>
      <c r="AF223" s="238"/>
      <c r="AG223" s="271"/>
      <c r="AH223" s="272"/>
      <c r="AI223" s="273"/>
      <c r="AJ223" s="40"/>
      <c r="AK223" s="40"/>
      <c r="AL223" s="401"/>
      <c r="AM223" s="404"/>
      <c r="AN223" s="398"/>
      <c r="AO223" s="396"/>
      <c r="AP223" s="346"/>
      <c r="AQ223" s="346"/>
      <c r="AR223" s="1"/>
      <c r="AS223" s="1"/>
    </row>
    <row r="224" spans="1:45" ht="12.75">
      <c r="A224" s="291" t="s">
        <v>287</v>
      </c>
      <c r="B224" s="293">
        <v>301580000</v>
      </c>
      <c r="C224" s="294">
        <v>20.1351</v>
      </c>
      <c r="D224" s="606">
        <v>1.05</v>
      </c>
      <c r="E224" s="294">
        <v>79.75</v>
      </c>
      <c r="F224" s="294">
        <v>3.135</v>
      </c>
      <c r="G224" s="295">
        <v>0.5698004460780568</v>
      </c>
      <c r="H224" s="295">
        <v>0.6416069810111191</v>
      </c>
      <c r="I224" s="293">
        <v>38158</v>
      </c>
      <c r="J224" s="294"/>
      <c r="K224" s="299">
        <v>20.774</v>
      </c>
      <c r="L224" s="299">
        <v>20.183</v>
      </c>
      <c r="M224" s="299">
        <v>20.157</v>
      </c>
      <c r="N224" s="299">
        <v>20.152</v>
      </c>
      <c r="O224" s="299">
        <v>20.367</v>
      </c>
      <c r="P224" s="299">
        <v>20.258</v>
      </c>
      <c r="Q224" s="363"/>
      <c r="R224" s="363"/>
      <c r="S224" s="363"/>
      <c r="T224" s="363"/>
      <c r="U224" s="363"/>
      <c r="V224" s="363"/>
      <c r="W224" s="363"/>
      <c r="X224" s="363"/>
      <c r="Y224" s="363"/>
      <c r="Z224" s="363"/>
      <c r="AA224" s="363"/>
      <c r="AB224" s="363"/>
      <c r="AC224" s="363"/>
      <c r="AD224" s="363"/>
      <c r="AE224" s="238"/>
      <c r="AF224" s="238"/>
      <c r="AG224" s="271"/>
      <c r="AH224" s="272"/>
      <c r="AI224" s="273"/>
      <c r="AJ224" s="40"/>
      <c r="AK224" s="40"/>
      <c r="AL224" s="401"/>
      <c r="AM224" s="404"/>
      <c r="AN224" s="398"/>
      <c r="AO224" s="396"/>
      <c r="AP224" s="346"/>
      <c r="AQ224" s="346"/>
      <c r="AR224" s="1"/>
      <c r="AS224" s="1"/>
    </row>
    <row r="225" spans="1:45" ht="12.75">
      <c r="A225" s="291" t="s">
        <v>86</v>
      </c>
      <c r="B225" s="293">
        <v>3461000</v>
      </c>
      <c r="C225" s="294">
        <v>1.5971</v>
      </c>
      <c r="D225" s="606">
        <v>5.1</v>
      </c>
      <c r="E225" s="294">
        <v>78.1129563710465</v>
      </c>
      <c r="F225" s="294">
        <v>3.475</v>
      </c>
      <c r="G225" s="300"/>
      <c r="H225" s="300"/>
      <c r="I225" s="293">
        <v>8533.666666666666</v>
      </c>
      <c r="J225" s="294"/>
      <c r="K225" s="299">
        <v>1.959</v>
      </c>
      <c r="L225" s="299">
        <v>1.478</v>
      </c>
      <c r="M225" s="299">
        <v>1.595</v>
      </c>
      <c r="N225" s="299">
        <v>1.641</v>
      </c>
      <c r="O225" s="299">
        <v>1.773</v>
      </c>
      <c r="P225" s="299">
        <v>1.836</v>
      </c>
      <c r="Q225" s="363"/>
      <c r="R225" s="363"/>
      <c r="S225" s="363"/>
      <c r="T225" s="363"/>
      <c r="U225" s="363"/>
      <c r="V225" s="363"/>
      <c r="W225" s="363"/>
      <c r="X225" s="363"/>
      <c r="Y225" s="363"/>
      <c r="Z225" s="363"/>
      <c r="AA225" s="363"/>
      <c r="AB225" s="363"/>
      <c r="AC225" s="363"/>
      <c r="AD225" s="363"/>
      <c r="AE225" s="238"/>
      <c r="AF225" s="238"/>
      <c r="AG225" s="271"/>
      <c r="AH225" s="272"/>
      <c r="AI225" s="273"/>
      <c r="AJ225" s="40"/>
      <c r="AK225" s="40"/>
      <c r="AL225" s="401"/>
      <c r="AM225" s="404"/>
      <c r="AN225" s="398"/>
      <c r="AO225" s="396"/>
      <c r="AP225" s="346"/>
      <c r="AQ225" s="346"/>
      <c r="AR225" s="1"/>
      <c r="AS225" s="1"/>
    </row>
    <row r="226" spans="1:45" ht="12.75">
      <c r="A226" s="291" t="s">
        <v>138</v>
      </c>
      <c r="B226" s="293">
        <v>27079000</v>
      </c>
      <c r="C226" s="294">
        <v>4.45275</v>
      </c>
      <c r="D226" s="606">
        <v>0.75</v>
      </c>
      <c r="E226" s="294">
        <v>58.65</v>
      </c>
      <c r="F226" s="294">
        <v>0.58</v>
      </c>
      <c r="G226" s="300"/>
      <c r="H226" s="300"/>
      <c r="I226" s="293">
        <v>1677</v>
      </c>
      <c r="J226" s="294"/>
      <c r="K226" s="297">
        <v>4.302</v>
      </c>
      <c r="L226" s="297">
        <v>4.437</v>
      </c>
      <c r="M226" s="297">
        <v>4.489</v>
      </c>
      <c r="N226" s="297">
        <v>4.464</v>
      </c>
      <c r="O226" s="297">
        <v>4.663</v>
      </c>
      <c r="P226" s="297">
        <v>4.413</v>
      </c>
      <c r="Q226" s="363"/>
      <c r="R226" s="363"/>
      <c r="S226" s="363"/>
      <c r="T226" s="363"/>
      <c r="U226" s="363"/>
      <c r="V226" s="363"/>
      <c r="W226" s="363"/>
      <c r="X226" s="363"/>
      <c r="Y226" s="363"/>
      <c r="Z226" s="363"/>
      <c r="AA226" s="363"/>
      <c r="AB226" s="363"/>
      <c r="AC226" s="363"/>
      <c r="AD226" s="363"/>
      <c r="AE226" s="238"/>
      <c r="AF226" s="238"/>
      <c r="AG226" s="271"/>
      <c r="AH226" s="272"/>
      <c r="AI226" s="273"/>
      <c r="AJ226" s="40"/>
      <c r="AK226" s="40"/>
      <c r="AL226" s="401"/>
      <c r="AM226" s="404"/>
      <c r="AN226" s="398"/>
      <c r="AO226" s="396"/>
      <c r="AP226" s="346"/>
      <c r="AQ226" s="346"/>
      <c r="AR226" s="1"/>
      <c r="AS226" s="1"/>
    </row>
    <row r="227" spans="1:45" ht="12.75">
      <c r="A227" s="291" t="s">
        <v>182</v>
      </c>
      <c r="B227" s="293">
        <v>212000</v>
      </c>
      <c r="C227" s="294">
        <v>0.4458000000000001</v>
      </c>
      <c r="D227" s="606">
        <v>0</v>
      </c>
      <c r="E227" s="305"/>
      <c r="F227" s="305"/>
      <c r="G227" s="295"/>
      <c r="H227" s="295"/>
      <c r="I227" s="293">
        <v>3273.5</v>
      </c>
      <c r="J227" s="294"/>
      <c r="K227" s="297">
        <v>0.444</v>
      </c>
      <c r="L227" s="297">
        <v>0.436</v>
      </c>
      <c r="M227" s="297">
        <v>0.461</v>
      </c>
      <c r="N227" s="297">
        <v>0.453</v>
      </c>
      <c r="O227" s="297">
        <v>0.463</v>
      </c>
      <c r="P227" s="297">
        <v>0.486</v>
      </c>
      <c r="Q227" s="363"/>
      <c r="R227" s="363"/>
      <c r="S227" s="363"/>
      <c r="T227" s="363"/>
      <c r="U227" s="363"/>
      <c r="V227" s="366"/>
      <c r="W227" s="366"/>
      <c r="X227" s="366"/>
      <c r="Y227" s="366"/>
      <c r="Z227" s="366"/>
      <c r="AA227" s="366"/>
      <c r="AB227" s="366"/>
      <c r="AC227" s="366"/>
      <c r="AD227" s="366"/>
      <c r="AE227" s="238"/>
      <c r="AF227" s="238"/>
      <c r="AG227" s="274"/>
      <c r="AH227" s="275"/>
      <c r="AI227" s="273"/>
      <c r="AJ227" s="40"/>
      <c r="AK227" s="40"/>
      <c r="AL227" s="401"/>
      <c r="AM227" s="404"/>
      <c r="AN227" s="398"/>
      <c r="AO227" s="396"/>
      <c r="AP227" s="346"/>
      <c r="AQ227" s="346"/>
      <c r="AR227" s="1"/>
      <c r="AS227" s="1"/>
    </row>
    <row r="228" spans="1:45" ht="12.75">
      <c r="A228" s="291" t="s">
        <v>70</v>
      </c>
      <c r="B228" s="293">
        <v>26024000</v>
      </c>
      <c r="C228" s="294">
        <v>5.766</v>
      </c>
      <c r="D228" s="606">
        <v>-7.35</v>
      </c>
      <c r="E228" s="294">
        <v>77.05</v>
      </c>
      <c r="F228" s="294">
        <v>1.275</v>
      </c>
      <c r="G228" s="300"/>
      <c r="H228" s="300"/>
      <c r="I228" s="293">
        <v>8578.5</v>
      </c>
      <c r="J228" s="294"/>
      <c r="K228" s="299">
        <v>5.723</v>
      </c>
      <c r="L228" s="299">
        <v>6.236</v>
      </c>
      <c r="M228" s="299">
        <v>6.064</v>
      </c>
      <c r="N228" s="299">
        <v>5.445</v>
      </c>
      <c r="O228" s="299">
        <v>5.741</v>
      </c>
      <c r="P228" s="299">
        <v>5.773</v>
      </c>
      <c r="Q228" s="363"/>
      <c r="R228" s="363"/>
      <c r="S228" s="363"/>
      <c r="T228" s="363"/>
      <c r="U228" s="363"/>
      <c r="V228" s="363"/>
      <c r="W228" s="363"/>
      <c r="X228" s="363"/>
      <c r="Y228" s="363"/>
      <c r="Z228" s="363"/>
      <c r="AA228" s="363"/>
      <c r="AB228" s="363"/>
      <c r="AC228" s="363"/>
      <c r="AD228" s="363"/>
      <c r="AE228" s="238"/>
      <c r="AF228" s="238"/>
      <c r="AG228" s="271"/>
      <c r="AH228" s="273"/>
      <c r="AI228" s="273"/>
      <c r="AJ228" s="40"/>
      <c r="AK228" s="40"/>
      <c r="AL228" s="399"/>
      <c r="AM228" s="404"/>
      <c r="AN228" s="398"/>
      <c r="AO228" s="396"/>
      <c r="AP228" s="346"/>
      <c r="AQ228" s="346"/>
      <c r="AR228" s="1"/>
      <c r="AS228" s="1"/>
    </row>
    <row r="229" spans="1:45" ht="12.75">
      <c r="A229" s="291" t="s">
        <v>205</v>
      </c>
      <c r="B229" s="293">
        <v>86519000</v>
      </c>
      <c r="C229" s="294">
        <v>0.3828</v>
      </c>
      <c r="D229" s="606">
        <v>18</v>
      </c>
      <c r="E229" s="294">
        <v>64.1</v>
      </c>
      <c r="F229" s="294">
        <v>0.73</v>
      </c>
      <c r="G229" s="295"/>
      <c r="H229" s="295"/>
      <c r="I229" s="293">
        <v>1747</v>
      </c>
      <c r="J229" s="294"/>
      <c r="K229" s="297">
        <v>0.582</v>
      </c>
      <c r="L229" s="297">
        <v>0.613</v>
      </c>
      <c r="M229" s="297">
        <v>0.692</v>
      </c>
      <c r="N229" s="297">
        <v>0.732</v>
      </c>
      <c r="O229" s="297">
        <v>0.895</v>
      </c>
      <c r="P229" s="297">
        <v>0.904</v>
      </c>
      <c r="Q229" s="363"/>
      <c r="R229" s="363"/>
      <c r="S229" s="363"/>
      <c r="T229" s="363"/>
      <c r="U229" s="363"/>
      <c r="V229" s="363"/>
      <c r="W229" s="363"/>
      <c r="X229" s="363"/>
      <c r="Y229" s="363"/>
      <c r="Z229" s="363"/>
      <c r="AA229" s="363"/>
      <c r="AB229" s="363"/>
      <c r="AC229" s="363"/>
      <c r="AD229" s="363"/>
      <c r="AE229" s="238"/>
      <c r="AF229" s="238"/>
      <c r="AG229" s="271"/>
      <c r="AH229" s="272"/>
      <c r="AI229" s="273"/>
      <c r="AJ229" s="40"/>
      <c r="AK229" s="40"/>
      <c r="AL229" s="401"/>
      <c r="AM229" s="404"/>
      <c r="AN229" s="398"/>
      <c r="AO229" s="396"/>
      <c r="AP229" s="346"/>
      <c r="AQ229" s="346"/>
      <c r="AR229" s="1"/>
      <c r="AS229" s="1"/>
    </row>
    <row r="230" spans="1:45" ht="12.75">
      <c r="A230" s="291" t="s">
        <v>181</v>
      </c>
      <c r="B230" s="293">
        <v>445000</v>
      </c>
      <c r="C230" s="294">
        <v>0.8609</v>
      </c>
      <c r="D230" s="606">
        <v>0</v>
      </c>
      <c r="E230" s="305"/>
      <c r="F230" s="305"/>
      <c r="G230" s="304"/>
      <c r="H230" s="295"/>
      <c r="I230" s="308"/>
      <c r="J230" s="294"/>
      <c r="K230" s="297">
        <v>0.792</v>
      </c>
      <c r="L230" s="297">
        <v>0.766</v>
      </c>
      <c r="M230" s="297">
        <v>0.734</v>
      </c>
      <c r="N230" s="297">
        <v>0.703</v>
      </c>
      <c r="O230" s="297">
        <v>0.674</v>
      </c>
      <c r="P230" s="297">
        <v>0.734</v>
      </c>
      <c r="Q230" s="363"/>
      <c r="R230" s="363"/>
      <c r="S230" s="363"/>
      <c r="T230" s="363"/>
      <c r="U230" s="363"/>
      <c r="V230" s="366"/>
      <c r="W230" s="366"/>
      <c r="X230" s="366"/>
      <c r="Y230" s="366"/>
      <c r="Z230" s="366"/>
      <c r="AA230" s="366"/>
      <c r="AB230" s="366"/>
      <c r="AC230" s="366"/>
      <c r="AD230" s="366"/>
      <c r="AE230" s="238"/>
      <c r="AF230" s="238"/>
      <c r="AG230" s="271"/>
      <c r="AH230" s="272"/>
      <c r="AI230" s="273"/>
      <c r="AJ230" s="40"/>
      <c r="AK230" s="40"/>
      <c r="AL230" s="401"/>
      <c r="AM230" s="404"/>
      <c r="AN230" s="398"/>
      <c r="AO230" s="396"/>
      <c r="AP230" s="346"/>
      <c r="AQ230" s="346"/>
      <c r="AR230" s="1"/>
      <c r="AS230" s="1"/>
    </row>
    <row r="231" spans="1:45" ht="12.75">
      <c r="A231" s="291" t="s">
        <v>119</v>
      </c>
      <c r="B231" s="293">
        <v>21591000</v>
      </c>
      <c r="C231" s="294">
        <v>0.7706</v>
      </c>
      <c r="D231" s="606">
        <v>0</v>
      </c>
      <c r="E231" s="294">
        <v>47.45</v>
      </c>
      <c r="F231" s="294">
        <v>0.515</v>
      </c>
      <c r="G231" s="295"/>
      <c r="H231" s="295"/>
      <c r="I231" s="298">
        <v>2030.8333333333333</v>
      </c>
      <c r="J231" s="294"/>
      <c r="K231" s="297">
        <v>0.757</v>
      </c>
      <c r="L231" s="297">
        <v>0.777</v>
      </c>
      <c r="M231" s="297">
        <v>0.83</v>
      </c>
      <c r="N231" s="297">
        <v>0.87</v>
      </c>
      <c r="O231" s="297">
        <v>0.844</v>
      </c>
      <c r="P231" s="297">
        <v>0.854</v>
      </c>
      <c r="Q231" s="363"/>
      <c r="R231" s="363"/>
      <c r="S231" s="363"/>
      <c r="T231" s="363"/>
      <c r="U231" s="363"/>
      <c r="V231" s="363"/>
      <c r="W231" s="363"/>
      <c r="X231" s="363"/>
      <c r="Y231" s="363"/>
      <c r="Z231" s="363"/>
      <c r="AA231" s="363"/>
      <c r="AB231" s="363"/>
      <c r="AC231" s="363"/>
      <c r="AD231" s="363"/>
      <c r="AE231" s="238"/>
      <c r="AF231" s="238"/>
      <c r="AG231" s="271"/>
      <c r="AH231" s="272"/>
      <c r="AI231" s="273"/>
      <c r="AJ231" s="40"/>
      <c r="AK231" s="40"/>
      <c r="AL231" s="401"/>
      <c r="AM231" s="404"/>
      <c r="AN231" s="398"/>
      <c r="AO231" s="396"/>
      <c r="AP231" s="346"/>
      <c r="AQ231" s="346"/>
      <c r="AR231" s="1"/>
      <c r="AS231" s="1"/>
    </row>
    <row r="232" spans="1:45" ht="12.75">
      <c r="A232" s="291" t="s">
        <v>125</v>
      </c>
      <c r="B232" s="293">
        <v>12341000</v>
      </c>
      <c r="C232" s="294">
        <v>0.26349999999999996</v>
      </c>
      <c r="D232" s="606">
        <v>-4.95</v>
      </c>
      <c r="E232" s="294">
        <v>54.75</v>
      </c>
      <c r="F232" s="294">
        <v>0.585</v>
      </c>
      <c r="G232" s="295"/>
      <c r="H232" s="295"/>
      <c r="I232" s="293">
        <v>1020.3333333333334</v>
      </c>
      <c r="J232" s="294"/>
      <c r="K232" s="297">
        <v>0.183</v>
      </c>
      <c r="L232" s="297">
        <v>0.193</v>
      </c>
      <c r="M232" s="297">
        <v>0.195</v>
      </c>
      <c r="N232" s="297">
        <v>0.2</v>
      </c>
      <c r="O232" s="297">
        <v>0.196</v>
      </c>
      <c r="P232" s="297">
        <v>0.209</v>
      </c>
      <c r="Q232" s="363"/>
      <c r="R232" s="363"/>
      <c r="S232" s="363"/>
      <c r="T232" s="363"/>
      <c r="U232" s="363"/>
      <c r="V232" s="363"/>
      <c r="W232" s="363"/>
      <c r="X232" s="363"/>
      <c r="Y232" s="363"/>
      <c r="Z232" s="363"/>
      <c r="AA232" s="363"/>
      <c r="AB232" s="363"/>
      <c r="AC232" s="363"/>
      <c r="AD232" s="363"/>
      <c r="AE232" s="238"/>
      <c r="AF232" s="238"/>
      <c r="AG232" s="271"/>
      <c r="AH232" s="272"/>
      <c r="AI232" s="273"/>
      <c r="AJ232" s="40"/>
      <c r="AK232" s="40"/>
      <c r="AL232" s="401"/>
      <c r="AM232" s="404"/>
      <c r="AN232" s="398"/>
      <c r="AO232" s="396"/>
      <c r="AP232" s="346"/>
      <c r="AQ232" s="346"/>
      <c r="AR232" s="1"/>
      <c r="AS232" s="1"/>
    </row>
    <row r="233" spans="1:45" ht="12.75">
      <c r="A233" s="678" t="s">
        <v>122</v>
      </c>
      <c r="B233" s="293">
        <v>11443000</v>
      </c>
      <c r="C233" s="294">
        <v>1.3792</v>
      </c>
      <c r="D233" s="606">
        <v>-19.05</v>
      </c>
      <c r="E233" s="294">
        <v>66.15</v>
      </c>
      <c r="F233" s="294">
        <v>0.785</v>
      </c>
      <c r="G233" s="295"/>
      <c r="H233" s="295"/>
      <c r="I233" s="308"/>
      <c r="J233" s="294"/>
      <c r="K233" s="297">
        <v>1.161</v>
      </c>
      <c r="L233" s="297">
        <v>1.108</v>
      </c>
      <c r="M233" s="297">
        <v>1.056</v>
      </c>
      <c r="N233" s="297">
        <v>0.95</v>
      </c>
      <c r="O233" s="297">
        <v>0.839</v>
      </c>
      <c r="P233" s="297">
        <v>0.931</v>
      </c>
      <c r="Q233" s="363"/>
      <c r="R233" s="363"/>
      <c r="S233" s="363"/>
      <c r="T233" s="363"/>
      <c r="U233" s="363"/>
      <c r="V233" s="363"/>
      <c r="W233" s="363"/>
      <c r="X233" s="363"/>
      <c r="Y233" s="363"/>
      <c r="Z233" s="363"/>
      <c r="AA233" s="363"/>
      <c r="AB233" s="363"/>
      <c r="AC233" s="363"/>
      <c r="AD233" s="363"/>
      <c r="AE233" s="238"/>
      <c r="AF233" s="238"/>
      <c r="AG233" s="271"/>
      <c r="AH233" s="272"/>
      <c r="AI233" s="273"/>
      <c r="AJ233" s="40"/>
      <c r="AK233" s="40"/>
      <c r="AL233" s="276"/>
      <c r="AM233" s="277"/>
      <c r="AN233" s="6"/>
      <c r="AO233" s="6"/>
      <c r="AP233" s="1"/>
      <c r="AQ233" s="1"/>
      <c r="AR233" s="1"/>
      <c r="AS233" s="1"/>
    </row>
    <row r="234" spans="4:45" ht="12.75">
      <c r="D234" s="610"/>
      <c r="AC234" s="20"/>
      <c r="AD234" s="63"/>
      <c r="AE234" s="63"/>
      <c r="AF234" s="40"/>
      <c r="AG234" s="274"/>
      <c r="AH234" s="275"/>
      <c r="AI234" s="273"/>
      <c r="AJ234" s="40"/>
      <c r="AK234" s="40"/>
      <c r="AL234" s="276"/>
      <c r="AM234" s="277"/>
      <c r="AN234" s="6"/>
      <c r="AO234" s="6"/>
      <c r="AP234" s="1"/>
      <c r="AQ234" s="1"/>
      <c r="AR234" s="1"/>
      <c r="AS234" s="1"/>
    </row>
    <row r="235" spans="3:45" ht="12.75">
      <c r="C235" s="432"/>
      <c r="D235" s="609"/>
      <c r="AD235" s="52"/>
      <c r="AE235" s="238"/>
      <c r="AF235" s="238"/>
      <c r="AG235" s="40"/>
      <c r="AH235" s="63"/>
      <c r="AI235" s="63"/>
      <c r="AJ235" s="63"/>
      <c r="AK235" s="40"/>
      <c r="AL235" s="276"/>
      <c r="AM235" s="277"/>
      <c r="AN235" s="6"/>
      <c r="AO235" s="6"/>
      <c r="AP235" s="1"/>
      <c r="AQ235" s="1"/>
      <c r="AR235" s="1"/>
      <c r="AS235" s="1"/>
    </row>
    <row r="236" spans="33:45" ht="12.75">
      <c r="AG236" s="40"/>
      <c r="AH236" s="63"/>
      <c r="AI236" s="63"/>
      <c r="AJ236" s="63"/>
      <c r="AK236" s="40"/>
      <c r="AL236" s="40"/>
      <c r="AM236" s="277"/>
      <c r="AN236" s="6"/>
      <c r="AO236" s="6"/>
      <c r="AP236" s="1"/>
      <c r="AQ236" s="1"/>
      <c r="AR236" s="1"/>
      <c r="AS236" s="1"/>
    </row>
    <row r="237" spans="14:45" ht="12.75">
      <c r="N237" s="21"/>
      <c r="O237" s="21"/>
      <c r="P237" s="21"/>
      <c r="Q237" s="21"/>
      <c r="R237" s="20"/>
      <c r="S237" s="20"/>
      <c r="T237" s="20"/>
      <c r="U237" s="20"/>
      <c r="V237" s="20"/>
      <c r="W237" s="20"/>
      <c r="X237" s="20"/>
      <c r="Y237" s="20"/>
      <c r="Z237" s="20"/>
      <c r="AA237" s="21"/>
      <c r="AB237" s="20"/>
      <c r="AC237" s="20"/>
      <c r="AD237" s="63"/>
      <c r="AE237" s="6"/>
      <c r="AF237" s="40"/>
      <c r="AG237" s="40"/>
      <c r="AH237" s="63"/>
      <c r="AI237" s="63"/>
      <c r="AJ237" s="63"/>
      <c r="AK237" s="40"/>
      <c r="AL237" s="40"/>
      <c r="AM237" s="40"/>
      <c r="AN237" s="6"/>
      <c r="AO237" s="6"/>
      <c r="AP237" s="1"/>
      <c r="AQ237" s="1"/>
      <c r="AR237" s="1"/>
      <c r="AS237" s="1"/>
    </row>
    <row r="238" spans="22:45" ht="12.75">
      <c r="V238" s="20"/>
      <c r="W238" s="20"/>
      <c r="X238" s="20"/>
      <c r="Y238" s="20"/>
      <c r="Z238" s="20"/>
      <c r="AA238" s="21"/>
      <c r="AB238" s="20"/>
      <c r="AC238" s="20"/>
      <c r="AD238" s="63"/>
      <c r="AE238" s="63"/>
      <c r="AF238" s="40"/>
      <c r="AG238" s="40"/>
      <c r="AH238" s="63"/>
      <c r="AI238" s="63"/>
      <c r="AJ238" s="63"/>
      <c r="AK238" s="40"/>
      <c r="AL238" s="40"/>
      <c r="AM238" s="40"/>
      <c r="AN238" s="6"/>
      <c r="AO238" s="6"/>
      <c r="AP238" s="1"/>
      <c r="AQ238" s="1"/>
      <c r="AR238" s="1"/>
      <c r="AS238" s="1"/>
    </row>
    <row r="239" spans="1:45" ht="12.75">
      <c r="A239" s="10"/>
      <c r="B239" s="95"/>
      <c r="C239" s="20"/>
      <c r="D239" s="21"/>
      <c r="E239" s="21"/>
      <c r="F239" s="21"/>
      <c r="G239" s="20"/>
      <c r="H239" s="20"/>
      <c r="I239" s="21"/>
      <c r="J239" s="21"/>
      <c r="K239" s="21"/>
      <c r="L239" s="20"/>
      <c r="M239" s="21"/>
      <c r="N239" s="21"/>
      <c r="O239" s="21"/>
      <c r="P239" s="21"/>
      <c r="Q239" s="21"/>
      <c r="R239" s="20"/>
      <c r="S239" s="20"/>
      <c r="T239" s="20"/>
      <c r="U239" s="20"/>
      <c r="V239" s="20"/>
      <c r="W239" s="20"/>
      <c r="X239" s="20"/>
      <c r="Y239" s="20"/>
      <c r="Z239" s="20"/>
      <c r="AA239" s="21"/>
      <c r="AB239" s="20"/>
      <c r="AC239" s="20"/>
      <c r="AD239" s="63"/>
      <c r="AE239" s="63"/>
      <c r="AF239" s="63"/>
      <c r="AG239" s="63"/>
      <c r="AH239" s="63"/>
      <c r="AI239" s="63"/>
      <c r="AJ239" s="63"/>
      <c r="AK239" s="40"/>
      <c r="AL239" s="40"/>
      <c r="AM239" s="40"/>
      <c r="AN239" s="6"/>
      <c r="AO239" s="6"/>
      <c r="AP239" s="1"/>
      <c r="AQ239" s="1"/>
      <c r="AR239" s="1"/>
      <c r="AS239" s="1"/>
    </row>
    <row r="240" spans="22:45" ht="12.75">
      <c r="V240" s="20"/>
      <c r="W240" s="20"/>
      <c r="X240" s="20"/>
      <c r="Y240" s="20"/>
      <c r="Z240" s="20"/>
      <c r="AA240" s="21"/>
      <c r="AB240" s="20"/>
      <c r="AC240" s="20"/>
      <c r="AD240" s="40"/>
      <c r="AE240" s="40"/>
      <c r="AF240" s="40"/>
      <c r="AG240" s="40"/>
      <c r="AH240" s="40"/>
      <c r="AI240" s="40"/>
      <c r="AJ240" s="40"/>
      <c r="AK240" s="40"/>
      <c r="AL240" s="40"/>
      <c r="AM240" s="40"/>
      <c r="AN240" s="6"/>
      <c r="AO240" s="6"/>
      <c r="AP240" s="1"/>
      <c r="AQ240" s="1"/>
      <c r="AR240" s="1"/>
      <c r="AS240" s="1"/>
    </row>
    <row r="241" spans="30:45" ht="12.75">
      <c r="AD241" s="63"/>
      <c r="AE241" s="63"/>
      <c r="AF241" s="63"/>
      <c r="AG241" s="63"/>
      <c r="AH241" s="63"/>
      <c r="AI241" s="63"/>
      <c r="AJ241" s="63"/>
      <c r="AK241" s="40"/>
      <c r="AL241" s="40"/>
      <c r="AM241" s="40"/>
      <c r="AN241" s="6"/>
      <c r="AO241" s="6"/>
      <c r="AP241" s="1"/>
      <c r="AQ241" s="1"/>
      <c r="AR241" s="1"/>
      <c r="AS241" s="1"/>
    </row>
    <row r="242" spans="22:45" ht="12.75">
      <c r="V242" s="20"/>
      <c r="W242" s="20"/>
      <c r="X242" s="20"/>
      <c r="Y242" s="20"/>
      <c r="Z242" s="20"/>
      <c r="AA242" s="21"/>
      <c r="AB242" s="20"/>
      <c r="AC242" s="20"/>
      <c r="AD242" s="63"/>
      <c r="AE242" s="63"/>
      <c r="AF242" s="63"/>
      <c r="AG242" s="63"/>
      <c r="AH242" s="63"/>
      <c r="AI242" s="63"/>
      <c r="AJ242" s="63"/>
      <c r="AK242" s="40"/>
      <c r="AL242" s="40"/>
      <c r="AM242" s="40"/>
      <c r="AN242" s="40"/>
      <c r="AO242" s="6"/>
      <c r="AP242" s="1"/>
      <c r="AQ242" s="1"/>
      <c r="AR242" s="1"/>
      <c r="AS242" s="1"/>
    </row>
    <row r="243" spans="1:45" ht="12.75">
      <c r="A243" s="10"/>
      <c r="B243" s="95"/>
      <c r="C243" s="20"/>
      <c r="D243" s="21"/>
      <c r="E243" s="21"/>
      <c r="F243" s="20"/>
      <c r="G243" s="20"/>
      <c r="H243" s="20"/>
      <c r="I243" s="20"/>
      <c r="J243" s="20"/>
      <c r="K243" s="20"/>
      <c r="L243" s="20"/>
      <c r="M243" s="21"/>
      <c r="N243" s="21"/>
      <c r="O243" s="21"/>
      <c r="P243" s="21"/>
      <c r="Q243" s="21"/>
      <c r="R243" s="20"/>
      <c r="S243" s="20"/>
      <c r="T243" s="20"/>
      <c r="U243" s="20"/>
      <c r="V243" s="20"/>
      <c r="W243" s="20"/>
      <c r="X243" s="20"/>
      <c r="Y243" s="20"/>
      <c r="Z243" s="20"/>
      <c r="AA243" s="21"/>
      <c r="AB243" s="20"/>
      <c r="AC243" s="20"/>
      <c r="AD243" s="13"/>
      <c r="AE243" s="63"/>
      <c r="AF243" s="63"/>
      <c r="AG243" s="63"/>
      <c r="AH243" s="63"/>
      <c r="AI243" s="63"/>
      <c r="AJ243" s="63"/>
      <c r="AK243" s="40"/>
      <c r="AL243" s="40"/>
      <c r="AM243" s="40"/>
      <c r="AN243" s="6"/>
      <c r="AO243" s="6"/>
      <c r="AP243" s="1"/>
      <c r="AQ243" s="1"/>
      <c r="AR243" s="1"/>
      <c r="AS243" s="1"/>
    </row>
    <row r="244" spans="1:45" ht="12.75">
      <c r="A244" s="10"/>
      <c r="B244" s="95"/>
      <c r="C244" s="20"/>
      <c r="D244" s="21"/>
      <c r="E244" s="21"/>
      <c r="F244" s="20"/>
      <c r="G244" s="20"/>
      <c r="H244" s="20"/>
      <c r="I244" s="20"/>
      <c r="J244" s="20"/>
      <c r="K244" s="20"/>
      <c r="L244" s="20"/>
      <c r="M244" s="20"/>
      <c r="N244" s="20"/>
      <c r="O244" s="20"/>
      <c r="P244" s="21"/>
      <c r="Q244" s="21"/>
      <c r="R244" s="21"/>
      <c r="S244" s="21"/>
      <c r="T244" s="21"/>
      <c r="U244" s="20"/>
      <c r="V244" s="20"/>
      <c r="W244" s="20"/>
      <c r="X244" s="20"/>
      <c r="Y244" s="20"/>
      <c r="Z244" s="20"/>
      <c r="AA244" s="20"/>
      <c r="AB244" s="20"/>
      <c r="AC244" s="20"/>
      <c r="AD244" s="13"/>
      <c r="AE244" s="63"/>
      <c r="AF244" s="63"/>
      <c r="AG244" s="63"/>
      <c r="AH244" s="63"/>
      <c r="AI244" s="63"/>
      <c r="AJ244" s="63"/>
      <c r="AK244" s="63"/>
      <c r="AL244" s="63"/>
      <c r="AM244" s="40"/>
      <c r="AN244" s="6"/>
      <c r="AO244" s="6"/>
      <c r="AP244" s="1"/>
      <c r="AQ244" s="1"/>
      <c r="AR244" s="1"/>
      <c r="AS244" s="1"/>
    </row>
    <row r="245" spans="1:45" ht="12.75">
      <c r="A245" s="10"/>
      <c r="B245" s="95"/>
      <c r="C245" s="20"/>
      <c r="D245" s="21"/>
      <c r="E245" s="21"/>
      <c r="F245" s="20"/>
      <c r="G245" s="20"/>
      <c r="H245" s="20"/>
      <c r="I245" s="20"/>
      <c r="J245" s="20"/>
      <c r="K245" s="20"/>
      <c r="L245" s="20"/>
      <c r="M245" s="20"/>
      <c r="N245" s="20"/>
      <c r="O245" s="20"/>
      <c r="P245" s="21"/>
      <c r="Q245" s="21"/>
      <c r="R245" s="21"/>
      <c r="S245" s="21"/>
      <c r="T245" s="21"/>
      <c r="U245" s="20"/>
      <c r="V245" s="20"/>
      <c r="W245" s="20"/>
      <c r="X245" s="20"/>
      <c r="Y245" s="20"/>
      <c r="Z245" s="20"/>
      <c r="AA245" s="20"/>
      <c r="AB245" s="20"/>
      <c r="AC245" s="20"/>
      <c r="AD245" s="13"/>
      <c r="AE245" s="63"/>
      <c r="AF245" s="63"/>
      <c r="AG245" s="63"/>
      <c r="AH245" s="63"/>
      <c r="AI245" s="63"/>
      <c r="AJ245" s="63"/>
      <c r="AK245" s="63"/>
      <c r="AL245" s="63"/>
      <c r="AM245" s="63"/>
      <c r="AN245" s="6"/>
      <c r="AO245" s="6"/>
      <c r="AP245" s="1"/>
      <c r="AQ245" s="1"/>
      <c r="AR245" s="1"/>
      <c r="AS245" s="1"/>
    </row>
    <row r="246" spans="1:45" ht="12.75">
      <c r="A246" s="10"/>
      <c r="B246" s="95"/>
      <c r="C246" s="20"/>
      <c r="D246" s="21"/>
      <c r="E246" s="21"/>
      <c r="F246" s="20"/>
      <c r="G246" s="20"/>
      <c r="H246" s="20"/>
      <c r="I246" s="20"/>
      <c r="J246" s="20"/>
      <c r="K246" s="20"/>
      <c r="L246" s="20"/>
      <c r="M246" s="20"/>
      <c r="N246" s="20"/>
      <c r="O246" s="20"/>
      <c r="P246" s="21"/>
      <c r="Q246" s="21"/>
      <c r="R246" s="21"/>
      <c r="S246" s="21"/>
      <c r="T246" s="21"/>
      <c r="U246" s="20"/>
      <c r="V246" s="20"/>
      <c r="W246" s="20"/>
      <c r="X246" s="20"/>
      <c r="Y246" s="20"/>
      <c r="Z246" s="20"/>
      <c r="AA246" s="20"/>
      <c r="AB246" s="20"/>
      <c r="AC246" s="20"/>
      <c r="AD246" s="13"/>
      <c r="AE246" s="63"/>
      <c r="AF246" s="63"/>
      <c r="AG246" s="63"/>
      <c r="AH246" s="63"/>
      <c r="AI246" s="63"/>
      <c r="AJ246" s="63"/>
      <c r="AK246" s="63"/>
      <c r="AL246" s="63"/>
      <c r="AM246" s="63"/>
      <c r="AN246" s="6"/>
      <c r="AO246" s="6"/>
      <c r="AP246" s="1"/>
      <c r="AQ246" s="1"/>
      <c r="AR246" s="1"/>
      <c r="AS246" s="1"/>
    </row>
    <row r="247" spans="39:45" ht="12.75">
      <c r="AM247" s="20"/>
      <c r="AN247" s="10"/>
      <c r="AO247" s="10"/>
      <c r="AP247" s="1"/>
      <c r="AQ247" s="1"/>
      <c r="AR247" s="1"/>
      <c r="AS247" s="1"/>
    </row>
    <row r="248" spans="1:45"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
      <c r="AQ248" s="1"/>
      <c r="AR248" s="1"/>
      <c r="AS248" s="1"/>
    </row>
    <row r="249" spans="1:45"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
      <c r="AQ249" s="1"/>
      <c r="AR249" s="1"/>
      <c r="AS249" s="1"/>
    </row>
    <row r="250" spans="1:45"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
      <c r="AQ250" s="1"/>
      <c r="AR250" s="1"/>
      <c r="AS250" s="1"/>
    </row>
    <row r="251" spans="1:45"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
      <c r="AQ251" s="1"/>
      <c r="AR251" s="1"/>
      <c r="AS251" s="1"/>
    </row>
    <row r="252" spans="1:45" ht="12.7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10"/>
      <c r="AL252" s="10"/>
      <c r="AM252" s="10"/>
      <c r="AN252" s="10"/>
      <c r="AO252" s="1"/>
      <c r="AP252" s="1"/>
      <c r="AQ252" s="1"/>
      <c r="AR252" s="1"/>
      <c r="AS252" s="1"/>
    </row>
    <row r="253" spans="1:40" ht="12.7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10"/>
      <c r="AA253" s="10"/>
      <c r="AB253" s="10"/>
      <c r="AC253" s="31"/>
      <c r="AD253" s="31"/>
      <c r="AE253" s="31"/>
      <c r="AF253" s="31"/>
      <c r="AG253" s="31"/>
      <c r="AH253" s="31"/>
      <c r="AI253" s="31"/>
      <c r="AJ253" s="31"/>
      <c r="AK253" s="31"/>
      <c r="AL253" s="31"/>
      <c r="AM253" s="31"/>
      <c r="AN253" s="31"/>
    </row>
    <row r="254" spans="1:40" ht="12.7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10"/>
      <c r="AA254" s="10"/>
      <c r="AB254" s="10"/>
      <c r="AC254" s="31"/>
      <c r="AD254" s="31"/>
      <c r="AE254" s="31"/>
      <c r="AF254" s="31"/>
      <c r="AG254" s="31"/>
      <c r="AH254" s="31"/>
      <c r="AI254" s="31"/>
      <c r="AJ254" s="31"/>
      <c r="AK254" s="31"/>
      <c r="AL254" s="31"/>
      <c r="AM254" s="31"/>
      <c r="AN254" s="31"/>
    </row>
    <row r="255" spans="1:40"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31"/>
      <c r="AD255" s="31"/>
      <c r="AE255" s="31"/>
      <c r="AF255" s="31"/>
      <c r="AG255" s="31"/>
      <c r="AH255" s="31"/>
      <c r="AI255" s="31"/>
      <c r="AJ255" s="31"/>
      <c r="AK255" s="31"/>
      <c r="AL255" s="31"/>
      <c r="AM255" s="31"/>
      <c r="AN255" s="31"/>
    </row>
    <row r="256" spans="1:30"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31"/>
      <c r="AD256" s="31"/>
    </row>
    <row r="257" spans="1:30" ht="12.7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row>
    <row r="259" spans="1:30" ht="12.7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row>
    <row r="260" spans="1:30" ht="12.7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row>
    <row r="261" spans="1:30" ht="12.7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row>
  </sheetData>
  <sheetProtection/>
  <hyperlinks>
    <hyperlink ref="A4" r:id="rId1" display="Kilder"/>
  </hyperlinks>
  <printOptions/>
  <pageMargins left="0.75" right="0.75" top="1" bottom="1" header="0" footer="0"/>
  <pageSetup horizontalDpi="300" verticalDpi="3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theme="6" tint="-0.24997000396251678"/>
  </sheetPr>
  <dimension ref="A1:BJ98"/>
  <sheetViews>
    <sheetView zoomScalePageLayoutView="0" workbookViewId="0" topLeftCell="A1">
      <selection activeCell="A2" sqref="A2:G2"/>
    </sheetView>
  </sheetViews>
  <sheetFormatPr defaultColWidth="9.140625" defaultRowHeight="12.75"/>
  <cols>
    <col min="1" max="1" width="18.57421875" style="0" customWidth="1"/>
    <col min="52" max="52" width="9.28125" style="0" bestFit="1" customWidth="1"/>
  </cols>
  <sheetData>
    <row r="1" ht="12.75">
      <c r="A1" s="115" t="s">
        <v>433</v>
      </c>
    </row>
    <row r="2" ht="18.75">
      <c r="A2" s="312" t="s">
        <v>427</v>
      </c>
    </row>
    <row r="3" ht="12.75">
      <c r="A3" s="336" t="s">
        <v>203</v>
      </c>
    </row>
    <row r="5" ht="14.25">
      <c r="A5" s="2" t="s">
        <v>276</v>
      </c>
    </row>
    <row r="6" ht="12.75">
      <c r="A6" s="2" t="s">
        <v>277</v>
      </c>
    </row>
    <row r="7" spans="2:62" ht="12.75">
      <c r="B7" s="289">
        <v>1960</v>
      </c>
      <c r="C7" s="289">
        <v>1961</v>
      </c>
      <c r="D7" s="289">
        <v>1962</v>
      </c>
      <c r="E7" s="289">
        <v>1963</v>
      </c>
      <c r="F7" s="289">
        <v>1964</v>
      </c>
      <c r="G7" s="289">
        <v>1965</v>
      </c>
      <c r="H7" s="289">
        <v>1966</v>
      </c>
      <c r="I7" s="289">
        <v>1967</v>
      </c>
      <c r="J7" s="289">
        <v>1968</v>
      </c>
      <c r="K7" s="289">
        <v>1969</v>
      </c>
      <c r="L7" s="289">
        <v>1970</v>
      </c>
      <c r="M7" s="289">
        <v>1971</v>
      </c>
      <c r="N7" s="289">
        <v>1972</v>
      </c>
      <c r="O7" s="289">
        <v>1973</v>
      </c>
      <c r="P7" s="289">
        <v>1974</v>
      </c>
      <c r="Q7" s="289">
        <v>1975</v>
      </c>
      <c r="R7" s="289">
        <v>1976</v>
      </c>
      <c r="S7" s="289">
        <v>1977</v>
      </c>
      <c r="T7" s="289">
        <v>1978</v>
      </c>
      <c r="U7" s="289">
        <v>1979</v>
      </c>
      <c r="V7" s="289">
        <v>1980</v>
      </c>
      <c r="W7" s="289">
        <v>1981</v>
      </c>
      <c r="X7" s="289">
        <v>1982</v>
      </c>
      <c r="Y7" s="289">
        <v>1983</v>
      </c>
      <c r="Z7" s="289">
        <v>1984</v>
      </c>
      <c r="AA7" s="289">
        <v>1985</v>
      </c>
      <c r="AB7" s="289">
        <v>1986</v>
      </c>
      <c r="AC7" s="289">
        <v>1987</v>
      </c>
      <c r="AD7" s="289">
        <v>1988</v>
      </c>
      <c r="AE7" s="289">
        <v>1989</v>
      </c>
      <c r="AF7" s="289">
        <v>1990</v>
      </c>
      <c r="AG7" s="289">
        <v>1991</v>
      </c>
      <c r="AH7" s="289">
        <v>1992</v>
      </c>
      <c r="AI7" s="289">
        <v>1993</v>
      </c>
      <c r="AJ7" s="289">
        <v>1994</v>
      </c>
      <c r="AK7" s="289">
        <v>1995</v>
      </c>
      <c r="AL7" s="289">
        <v>1996</v>
      </c>
      <c r="AM7" s="289">
        <v>1997</v>
      </c>
      <c r="AN7" s="289">
        <v>1998</v>
      </c>
      <c r="AO7" s="289">
        <v>1999</v>
      </c>
      <c r="AP7" s="289">
        <v>2000</v>
      </c>
      <c r="AQ7" s="289">
        <v>2001</v>
      </c>
      <c r="AR7" s="289">
        <v>2002</v>
      </c>
      <c r="AS7" s="289">
        <v>2003</v>
      </c>
      <c r="AT7" s="289">
        <v>2004</v>
      </c>
      <c r="AU7" s="289">
        <v>2005</v>
      </c>
      <c r="AV7" s="289">
        <v>2006</v>
      </c>
      <c r="AW7" s="289">
        <v>2007</v>
      </c>
      <c r="AX7" s="289">
        <v>2008</v>
      </c>
      <c r="AY7" s="289">
        <v>2009</v>
      </c>
      <c r="AZ7" s="289">
        <v>2010</v>
      </c>
      <c r="BA7" s="289">
        <v>2011</v>
      </c>
      <c r="BB7" s="289">
        <v>2012</v>
      </c>
      <c r="BC7" s="289">
        <v>2013</v>
      </c>
      <c r="BD7" s="289">
        <v>2014</v>
      </c>
      <c r="BE7" s="289">
        <v>2015</v>
      </c>
      <c r="BF7" s="289">
        <v>2016</v>
      </c>
      <c r="BG7" s="289">
        <v>2017</v>
      </c>
      <c r="BH7" s="289">
        <v>2018</v>
      </c>
      <c r="BI7" s="289">
        <v>2019</v>
      </c>
      <c r="BJ7" s="289">
        <v>2020</v>
      </c>
    </row>
    <row r="8" spans="1:62" ht="12.75">
      <c r="A8" s="55" t="s">
        <v>218</v>
      </c>
      <c r="B8" s="202">
        <v>316.91</v>
      </c>
      <c r="C8" s="202">
        <v>317.65</v>
      </c>
      <c r="D8" s="202">
        <v>318.45</v>
      </c>
      <c r="E8" s="202">
        <v>318.99</v>
      </c>
      <c r="F8" s="202">
        <v>319.61</v>
      </c>
      <c r="G8" s="202">
        <v>320.03</v>
      </c>
      <c r="H8" s="202">
        <v>321.37</v>
      </c>
      <c r="I8" s="202">
        <v>322.18</v>
      </c>
      <c r="J8" s="202">
        <v>323.05</v>
      </c>
      <c r="K8" s="202">
        <v>324.62</v>
      </c>
      <c r="L8" s="202">
        <v>325.68</v>
      </c>
      <c r="M8" s="202">
        <v>326.32</v>
      </c>
      <c r="N8" s="202">
        <v>327.46</v>
      </c>
      <c r="O8" s="202">
        <v>329.68</v>
      </c>
      <c r="P8" s="202">
        <v>330.17</v>
      </c>
      <c r="Q8" s="202">
        <v>331.09</v>
      </c>
      <c r="R8" s="202">
        <v>332.06</v>
      </c>
      <c r="S8" s="202">
        <v>333.78</v>
      </c>
      <c r="T8" s="202">
        <v>335.4</v>
      </c>
      <c r="U8" s="202">
        <v>336.78</v>
      </c>
      <c r="V8" s="202">
        <v>338.7</v>
      </c>
      <c r="W8" s="202">
        <v>340.11</v>
      </c>
      <c r="X8" s="202">
        <v>341.21</v>
      </c>
      <c r="Y8" s="202">
        <v>342.84</v>
      </c>
      <c r="Z8" s="202">
        <v>344.4</v>
      </c>
      <c r="AA8" s="202">
        <v>345.87</v>
      </c>
      <c r="AB8" s="202">
        <v>347.19</v>
      </c>
      <c r="AC8" s="202">
        <v>348.98</v>
      </c>
      <c r="AD8" s="202">
        <v>351.45</v>
      </c>
      <c r="AE8" s="202">
        <v>352.89</v>
      </c>
      <c r="AF8" s="202">
        <v>354.16</v>
      </c>
      <c r="AG8" s="202">
        <v>355.49</v>
      </c>
      <c r="AH8" s="202">
        <v>356.27</v>
      </c>
      <c r="AI8" s="202">
        <v>356.96</v>
      </c>
      <c r="AJ8" s="202">
        <v>358.63</v>
      </c>
      <c r="AK8" s="202">
        <v>360.62</v>
      </c>
      <c r="AL8" s="202">
        <v>362.37</v>
      </c>
      <c r="AM8" s="202">
        <v>363.47</v>
      </c>
      <c r="AN8" s="202">
        <v>366.5</v>
      </c>
      <c r="AO8" s="202">
        <v>368.14</v>
      </c>
      <c r="AP8" s="202">
        <v>369.41</v>
      </c>
      <c r="AQ8" s="202">
        <v>371.07</v>
      </c>
      <c r="AR8" s="202">
        <v>373.16</v>
      </c>
      <c r="AS8" s="202">
        <v>375.8</v>
      </c>
      <c r="AT8" s="202">
        <v>377.55</v>
      </c>
      <c r="AU8" s="202">
        <v>379.75</v>
      </c>
      <c r="AV8" s="202"/>
      <c r="AW8" s="202"/>
      <c r="AX8" s="202"/>
      <c r="AY8" s="202"/>
      <c r="AZ8" s="202"/>
      <c r="BA8" s="201"/>
      <c r="BB8" s="201"/>
      <c r="BC8" s="201"/>
      <c r="BD8" s="201"/>
      <c r="BE8" s="201"/>
      <c r="BF8" s="201"/>
      <c r="BG8" s="201"/>
      <c r="BH8" s="201"/>
      <c r="BI8" s="201"/>
      <c r="BJ8" s="201"/>
    </row>
    <row r="33" ht="12.75">
      <c r="A33" s="2" t="s">
        <v>208</v>
      </c>
    </row>
    <row r="34" ht="12.75">
      <c r="A34" s="2" t="s">
        <v>209</v>
      </c>
    </row>
    <row r="35" spans="1:62" ht="12.75">
      <c r="A35" s="336"/>
      <c r="B35" s="289">
        <v>1960</v>
      </c>
      <c r="C35" s="289">
        <v>1961</v>
      </c>
      <c r="D35" s="289">
        <v>1962</v>
      </c>
      <c r="E35" s="289">
        <v>1963</v>
      </c>
      <c r="F35" s="289">
        <v>1964</v>
      </c>
      <c r="G35" s="289">
        <v>1965</v>
      </c>
      <c r="H35" s="289">
        <v>1966</v>
      </c>
      <c r="I35" s="289">
        <v>1967</v>
      </c>
      <c r="J35" s="289">
        <v>1968</v>
      </c>
      <c r="K35" s="289">
        <v>1969</v>
      </c>
      <c r="L35" s="289">
        <v>1970</v>
      </c>
      <c r="M35" s="289">
        <v>1971</v>
      </c>
      <c r="N35" s="289">
        <v>1972</v>
      </c>
      <c r="O35" s="289">
        <v>1973</v>
      </c>
      <c r="P35" s="289">
        <v>1974</v>
      </c>
      <c r="Q35" s="289">
        <v>1975</v>
      </c>
      <c r="R35" s="289">
        <v>1976</v>
      </c>
      <c r="S35" s="289">
        <v>1977</v>
      </c>
      <c r="T35" s="289">
        <v>1978</v>
      </c>
      <c r="U35" s="289">
        <v>1979</v>
      </c>
      <c r="V35" s="289">
        <v>1980</v>
      </c>
      <c r="W35" s="289">
        <v>1981</v>
      </c>
      <c r="X35" s="289">
        <v>1982</v>
      </c>
      <c r="Y35" s="289">
        <v>1983</v>
      </c>
      <c r="Z35" s="289">
        <v>1984</v>
      </c>
      <c r="AA35" s="289">
        <v>1985</v>
      </c>
      <c r="AB35" s="289">
        <v>1986</v>
      </c>
      <c r="AC35" s="289">
        <v>1987</v>
      </c>
      <c r="AD35" s="289">
        <v>1988</v>
      </c>
      <c r="AE35" s="289">
        <v>1989</v>
      </c>
      <c r="AF35" s="289">
        <v>1990</v>
      </c>
      <c r="AG35" s="289">
        <v>1991</v>
      </c>
      <c r="AH35" s="289">
        <v>1992</v>
      </c>
      <c r="AI35" s="289">
        <v>1993</v>
      </c>
      <c r="AJ35" s="289">
        <v>1994</v>
      </c>
      <c r="AK35" s="289">
        <v>1995</v>
      </c>
      <c r="AL35" s="289">
        <v>1996</v>
      </c>
      <c r="AM35" s="289">
        <v>1997</v>
      </c>
      <c r="AN35" s="289">
        <v>1998</v>
      </c>
      <c r="AO35" s="289">
        <v>1999</v>
      </c>
      <c r="AP35" s="289">
        <v>2000</v>
      </c>
      <c r="AQ35" s="289">
        <v>2001</v>
      </c>
      <c r="AR35" s="289">
        <v>2002</v>
      </c>
      <c r="AS35" s="289">
        <v>2003</v>
      </c>
      <c r="AT35" s="289">
        <v>2004</v>
      </c>
      <c r="AU35" s="289">
        <v>2005</v>
      </c>
      <c r="AV35" s="289">
        <v>2006</v>
      </c>
      <c r="AW35" s="289">
        <v>2007</v>
      </c>
      <c r="AX35" s="289">
        <v>2008</v>
      </c>
      <c r="AY35" s="289">
        <v>2009</v>
      </c>
      <c r="AZ35" s="289">
        <v>2010</v>
      </c>
      <c r="BA35" s="289">
        <v>2011</v>
      </c>
      <c r="BB35" s="289">
        <v>2012</v>
      </c>
      <c r="BC35" s="289">
        <v>2013</v>
      </c>
      <c r="BD35" s="289">
        <v>2014</v>
      </c>
      <c r="BE35" s="289">
        <v>2015</v>
      </c>
      <c r="BF35" s="289">
        <v>2016</v>
      </c>
      <c r="BG35" s="289">
        <v>2017</v>
      </c>
      <c r="BH35" s="289">
        <v>2018</v>
      </c>
      <c r="BI35" s="289">
        <v>2019</v>
      </c>
      <c r="BJ35" s="289">
        <v>2020</v>
      </c>
    </row>
    <row r="36" spans="1:62" ht="14.25">
      <c r="A36" s="87" t="s">
        <v>219</v>
      </c>
      <c r="B36" s="136">
        <v>0.28078000000000003</v>
      </c>
      <c r="C36" s="136">
        <v>0.43038</v>
      </c>
      <c r="D36" s="136">
        <v>0.4919800000000001</v>
      </c>
      <c r="E36" s="136">
        <v>0.53988</v>
      </c>
      <c r="F36" s="136">
        <v>0.09568</v>
      </c>
      <c r="G36" s="136">
        <v>0.19698</v>
      </c>
      <c r="H36" s="136">
        <v>0.24428000000000002</v>
      </c>
      <c r="I36" s="136">
        <v>0.31188</v>
      </c>
      <c r="J36" s="136">
        <v>0.19918000000000002</v>
      </c>
      <c r="K36" s="136">
        <v>0.20888</v>
      </c>
      <c r="L36" s="136">
        <v>-0.016520000000000007</v>
      </c>
      <c r="M36" s="136">
        <v>0.26318</v>
      </c>
      <c r="N36" s="136">
        <v>0.11948</v>
      </c>
      <c r="O36" s="136">
        <v>0.57708</v>
      </c>
      <c r="P36" s="136">
        <v>0.04577999999999999</v>
      </c>
      <c r="Q36" s="136">
        <v>0.37398</v>
      </c>
      <c r="R36" s="136">
        <v>0.009480000000000044</v>
      </c>
      <c r="S36" s="136">
        <v>0.46458</v>
      </c>
      <c r="T36" s="136">
        <v>-0.0015199999999999936</v>
      </c>
      <c r="U36" s="136">
        <v>0.40728</v>
      </c>
      <c r="V36" s="136">
        <v>0.52718</v>
      </c>
      <c r="W36" s="136">
        <v>0.74368</v>
      </c>
      <c r="X36" s="136">
        <v>0.35078000000000004</v>
      </c>
      <c r="Y36" s="136">
        <v>0.7412799999999999</v>
      </c>
      <c r="Z36" s="136">
        <v>0.30038000000000004</v>
      </c>
      <c r="AA36" s="136">
        <v>0.32238</v>
      </c>
      <c r="AB36" s="136">
        <v>0.53388</v>
      </c>
      <c r="AC36" s="136">
        <v>0.66578</v>
      </c>
      <c r="AD36" s="136">
        <v>0.78908</v>
      </c>
      <c r="AE36" s="136">
        <v>0.60878</v>
      </c>
      <c r="AF36" s="136">
        <v>0.91788</v>
      </c>
      <c r="AG36" s="136">
        <v>0.77888</v>
      </c>
      <c r="AH36" s="136">
        <v>0.52308</v>
      </c>
      <c r="AI36" s="136">
        <v>0.5963799999999999</v>
      </c>
      <c r="AJ36" s="136">
        <v>0.7291800000000002</v>
      </c>
      <c r="AK36" s="136">
        <v>1.02258</v>
      </c>
      <c r="AL36" s="136">
        <v>0.58788</v>
      </c>
      <c r="AM36" s="136">
        <v>0.92788</v>
      </c>
      <c r="AN36" s="136">
        <v>1.20158</v>
      </c>
      <c r="AO36" s="136">
        <v>1.04548</v>
      </c>
      <c r="AP36" s="136">
        <v>0.8870800000000001</v>
      </c>
      <c r="AQ36" s="136">
        <v>1.0902800000000001</v>
      </c>
      <c r="AR36" s="136">
        <v>1.2012800000000001</v>
      </c>
      <c r="AS36" s="136">
        <v>1.14208</v>
      </c>
      <c r="AT36" s="136">
        <v>1.07898</v>
      </c>
      <c r="AU36" s="136">
        <v>1.3267799999999998</v>
      </c>
      <c r="AV36" s="136"/>
      <c r="AW36" s="136"/>
      <c r="AX36" s="136"/>
      <c r="AY36" s="136"/>
      <c r="AZ36" s="136"/>
      <c r="BA36" s="136"/>
      <c r="BB36" s="136"/>
      <c r="BC36" s="136"/>
      <c r="BD36" s="136"/>
      <c r="BE36" s="136"/>
      <c r="BF36" s="136"/>
      <c r="BG36" s="136"/>
      <c r="BH36" s="136"/>
      <c r="BI36" s="136"/>
      <c r="BJ36" s="136"/>
    </row>
    <row r="38" spans="2:51" ht="12.75">
      <c r="B38" s="88"/>
      <c r="AP38" s="62"/>
      <c r="AQ38" s="62"/>
      <c r="AR38" s="62"/>
      <c r="AS38" s="62"/>
      <c r="AT38" s="62"/>
      <c r="AU38" s="62"/>
      <c r="AV38" s="62"/>
      <c r="AW38" s="62"/>
      <c r="AX38" s="62"/>
      <c r="AY38" s="62"/>
    </row>
    <row r="39" spans="2:56" ht="12.75">
      <c r="B39" s="88"/>
      <c r="AF39" s="62"/>
      <c r="AG39" s="62"/>
      <c r="AH39" s="62"/>
      <c r="AI39" s="62"/>
      <c r="AJ39" s="62"/>
      <c r="AK39" s="62"/>
      <c r="AL39" s="62"/>
      <c r="AM39" s="62"/>
      <c r="AN39" s="62"/>
      <c r="AO39" s="62"/>
      <c r="AP39" s="88"/>
      <c r="AQ39" s="62"/>
      <c r="AR39" s="62"/>
      <c r="AS39" s="62"/>
      <c r="AT39" s="62"/>
      <c r="AU39" s="62"/>
      <c r="AV39" s="62"/>
      <c r="AW39" s="62"/>
      <c r="AX39" s="62"/>
      <c r="AY39" s="62"/>
      <c r="AZ39" s="62"/>
      <c r="BA39" s="62"/>
      <c r="BB39" s="62"/>
      <c r="BC39" s="62"/>
      <c r="BD39" s="88"/>
    </row>
    <row r="40" spans="2:56" ht="15">
      <c r="B40" s="88"/>
      <c r="AF40" s="62"/>
      <c r="AG40" s="62"/>
      <c r="AH40" s="62"/>
      <c r="AI40" s="62"/>
      <c r="AJ40" s="62"/>
      <c r="AK40" s="62"/>
      <c r="AL40" s="62"/>
      <c r="AM40" s="62"/>
      <c r="AN40" s="62"/>
      <c r="AO40" s="62"/>
      <c r="AP40" s="135"/>
      <c r="AQ40" s="88"/>
      <c r="AR40" s="88"/>
      <c r="AS40" s="88"/>
      <c r="AT40" s="88"/>
      <c r="AU40" s="88"/>
      <c r="AV40" s="601"/>
      <c r="AZ40" s="171"/>
      <c r="BD40" s="170"/>
    </row>
    <row r="41" spans="2:56" ht="15">
      <c r="B41" s="88"/>
      <c r="AP41" s="88"/>
      <c r="AV41" s="170"/>
      <c r="AZ41" s="171"/>
      <c r="BD41" s="170"/>
    </row>
    <row r="42" spans="2:56" ht="15">
      <c r="B42" s="88"/>
      <c r="AV42" s="170"/>
      <c r="AZ42" s="172"/>
      <c r="BD42" s="170"/>
    </row>
    <row r="43" spans="47:56" ht="15">
      <c r="AU43" s="62"/>
      <c r="AV43" s="62"/>
      <c r="AW43" s="62"/>
      <c r="AX43" s="62"/>
      <c r="AY43" s="62"/>
      <c r="AZ43" s="172"/>
      <c r="BD43" s="170"/>
    </row>
    <row r="44" spans="52:56" ht="15">
      <c r="AZ44" s="172"/>
      <c r="BD44" s="170"/>
    </row>
    <row r="45" spans="52:56" ht="15">
      <c r="AZ45" s="172"/>
      <c r="BD45" s="170"/>
    </row>
    <row r="46" spans="52:56" ht="15">
      <c r="AZ46" s="171"/>
      <c r="BD46" s="170"/>
    </row>
    <row r="47" spans="52:56" ht="15">
      <c r="AZ47" s="171"/>
      <c r="BD47" s="170"/>
    </row>
    <row r="48" spans="52:56" ht="15">
      <c r="AZ48" s="171"/>
      <c r="BD48" s="170"/>
    </row>
    <row r="49" spans="52:56" ht="15">
      <c r="AZ49" s="171"/>
      <c r="BD49" s="170"/>
    </row>
    <row r="50" spans="52:56" ht="15">
      <c r="AZ50" s="172"/>
      <c r="BD50" s="170"/>
    </row>
    <row r="51" spans="52:56" ht="15">
      <c r="AZ51" s="171"/>
      <c r="BD51" s="170"/>
    </row>
    <row r="52" ht="12.75">
      <c r="AZ52" s="138"/>
    </row>
    <row r="61" ht="12.75">
      <c r="A61" s="2" t="s">
        <v>202</v>
      </c>
    </row>
    <row r="62" ht="12.75">
      <c r="A62" s="336"/>
    </row>
    <row r="63" spans="2:62" ht="12.75">
      <c r="B63" s="289">
        <v>1960</v>
      </c>
      <c r="C63" s="289">
        <v>1961</v>
      </c>
      <c r="D63" s="289">
        <v>1962</v>
      </c>
      <c r="E63" s="289">
        <v>1963</v>
      </c>
      <c r="F63" s="289">
        <v>1964</v>
      </c>
      <c r="G63" s="289">
        <v>1965</v>
      </c>
      <c r="H63" s="289">
        <v>1966</v>
      </c>
      <c r="I63" s="289">
        <v>1967</v>
      </c>
      <c r="J63" s="289">
        <v>1968</v>
      </c>
      <c r="K63" s="289">
        <v>1969</v>
      </c>
      <c r="L63" s="289">
        <v>1970</v>
      </c>
      <c r="M63" s="289">
        <v>1971</v>
      </c>
      <c r="N63" s="289">
        <v>1972</v>
      </c>
      <c r="O63" s="289">
        <v>1973</v>
      </c>
      <c r="P63" s="289">
        <v>1974</v>
      </c>
      <c r="Q63" s="289">
        <v>1975</v>
      </c>
      <c r="R63" s="289">
        <v>1976</v>
      </c>
      <c r="S63" s="289">
        <v>1977</v>
      </c>
      <c r="T63" s="289">
        <v>1978</v>
      </c>
      <c r="U63" s="289">
        <v>1979</v>
      </c>
      <c r="V63" s="289">
        <v>1980</v>
      </c>
      <c r="W63" s="289">
        <v>1981</v>
      </c>
      <c r="X63" s="289">
        <v>1982</v>
      </c>
      <c r="Y63" s="289">
        <v>1983</v>
      </c>
      <c r="Z63" s="289">
        <v>1984</v>
      </c>
      <c r="AA63" s="289">
        <v>1985</v>
      </c>
      <c r="AB63" s="289">
        <v>1986</v>
      </c>
      <c r="AC63" s="289">
        <v>1987</v>
      </c>
      <c r="AD63" s="289">
        <v>1988</v>
      </c>
      <c r="AE63" s="289">
        <v>1989</v>
      </c>
      <c r="AF63" s="289">
        <v>1990</v>
      </c>
      <c r="AG63" s="289">
        <v>1991</v>
      </c>
      <c r="AH63" s="289">
        <v>1992</v>
      </c>
      <c r="AI63" s="289">
        <v>1993</v>
      </c>
      <c r="AJ63" s="289">
        <v>1994</v>
      </c>
      <c r="AK63" s="289">
        <v>1995</v>
      </c>
      <c r="AL63" s="289">
        <v>1996</v>
      </c>
      <c r="AM63" s="289">
        <v>1997</v>
      </c>
      <c r="AN63" s="289">
        <v>1998</v>
      </c>
      <c r="AO63" s="289">
        <v>1999</v>
      </c>
      <c r="AP63" s="289">
        <v>2000</v>
      </c>
      <c r="AQ63" s="289">
        <v>2001</v>
      </c>
      <c r="AR63" s="289">
        <v>2002</v>
      </c>
      <c r="AS63" s="289">
        <v>2003</v>
      </c>
      <c r="AT63" s="289">
        <v>2004</v>
      </c>
      <c r="AU63" s="289">
        <v>2005</v>
      </c>
      <c r="AV63" s="289">
        <v>2006</v>
      </c>
      <c r="AW63" s="289">
        <v>2007</v>
      </c>
      <c r="AX63" s="289">
        <v>2008</v>
      </c>
      <c r="AY63" s="289">
        <v>2009</v>
      </c>
      <c r="AZ63" s="289">
        <v>2010</v>
      </c>
      <c r="BA63" s="289">
        <v>2011</v>
      </c>
      <c r="BB63" s="289">
        <v>2012</v>
      </c>
      <c r="BC63" s="289">
        <v>2013</v>
      </c>
      <c r="BD63" s="289">
        <v>2014</v>
      </c>
      <c r="BE63" s="289">
        <v>2015</v>
      </c>
      <c r="BF63" s="289">
        <v>2016</v>
      </c>
      <c r="BG63" s="289">
        <v>2017</v>
      </c>
      <c r="BH63" s="289">
        <v>2018</v>
      </c>
      <c r="BI63" s="289">
        <v>2019</v>
      </c>
      <c r="BJ63" s="289">
        <v>2020</v>
      </c>
    </row>
    <row r="64" spans="1:62" ht="12.75">
      <c r="A64" s="55" t="s">
        <v>220</v>
      </c>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136">
        <v>14</v>
      </c>
      <c r="AJ64" s="137">
        <v>14.07</v>
      </c>
      <c r="AK64" s="137">
        <v>14.27</v>
      </c>
      <c r="AL64" s="137">
        <v>14.69</v>
      </c>
      <c r="AM64" s="137">
        <v>15.27</v>
      </c>
      <c r="AN64" s="137">
        <v>15.41</v>
      </c>
      <c r="AO64" s="137">
        <v>15.59</v>
      </c>
      <c r="AP64" s="136">
        <v>16.1</v>
      </c>
      <c r="AQ64" s="136">
        <v>16.4</v>
      </c>
      <c r="AR64" s="136">
        <v>17.1</v>
      </c>
      <c r="AS64" s="136">
        <v>17.17</v>
      </c>
      <c r="AT64" s="136">
        <v>17.57</v>
      </c>
      <c r="AU64" s="136">
        <v>18.06</v>
      </c>
      <c r="AV64" s="136"/>
      <c r="AW64" s="136"/>
      <c r="AX64" s="136"/>
      <c r="AY64" s="136"/>
      <c r="AZ64" s="136"/>
      <c r="BA64" s="136"/>
      <c r="BB64" s="136"/>
      <c r="BC64" s="136"/>
      <c r="BD64" s="136"/>
      <c r="BE64" s="136"/>
      <c r="BF64" s="136"/>
      <c r="BG64" s="136"/>
      <c r="BH64" s="136"/>
      <c r="BI64" s="136"/>
      <c r="BJ64" s="136"/>
    </row>
    <row r="67" spans="45:53" ht="12.75">
      <c r="AS67" s="88"/>
      <c r="AT67" s="88"/>
      <c r="AU67" s="88"/>
      <c r="AV67" s="88"/>
      <c r="AX67" s="62"/>
      <c r="AY67" s="62"/>
      <c r="AZ67" s="62"/>
      <c r="BA67" s="88"/>
    </row>
    <row r="68" spans="39:42" ht="12.75">
      <c r="AM68" s="12"/>
      <c r="AN68" s="12"/>
      <c r="AO68" s="12"/>
      <c r="AP68" s="129"/>
    </row>
    <row r="70" ht="12.75">
      <c r="AP70" s="88"/>
    </row>
    <row r="89" ht="12.75">
      <c r="A89" s="2" t="s">
        <v>217</v>
      </c>
    </row>
    <row r="90" ht="12.75">
      <c r="A90" s="336"/>
    </row>
    <row r="91" spans="2:62" ht="12.75">
      <c r="B91" s="309">
        <v>1960</v>
      </c>
      <c r="C91" s="309">
        <v>1961</v>
      </c>
      <c r="D91" s="309">
        <v>1962</v>
      </c>
      <c r="E91" s="309">
        <v>1963</v>
      </c>
      <c r="F91" s="309">
        <v>1964</v>
      </c>
      <c r="G91" s="309">
        <v>1965</v>
      </c>
      <c r="H91" s="309">
        <v>1966</v>
      </c>
      <c r="I91" s="309">
        <v>1967</v>
      </c>
      <c r="J91" s="309">
        <v>1968</v>
      </c>
      <c r="K91" s="309">
        <v>1969</v>
      </c>
      <c r="L91" s="309">
        <v>1970</v>
      </c>
      <c r="M91" s="309">
        <v>1971</v>
      </c>
      <c r="N91" s="309">
        <v>1972</v>
      </c>
      <c r="O91" s="309">
        <v>1973</v>
      </c>
      <c r="P91" s="309">
        <v>1974</v>
      </c>
      <c r="Q91" s="309">
        <v>1975</v>
      </c>
      <c r="R91" s="309">
        <v>1976</v>
      </c>
      <c r="S91" s="309">
        <v>1977</v>
      </c>
      <c r="T91" s="309">
        <v>1978</v>
      </c>
      <c r="U91" s="309">
        <v>1979</v>
      </c>
      <c r="V91" s="309">
        <v>1980</v>
      </c>
      <c r="W91" s="309">
        <v>1981</v>
      </c>
      <c r="X91" s="309">
        <v>1982</v>
      </c>
      <c r="Y91" s="309">
        <v>1983</v>
      </c>
      <c r="Z91" s="309">
        <v>1984</v>
      </c>
      <c r="AA91" s="309">
        <v>1985</v>
      </c>
      <c r="AB91" s="309">
        <v>1986</v>
      </c>
      <c r="AC91" s="309">
        <v>1987</v>
      </c>
      <c r="AD91" s="309">
        <v>1988</v>
      </c>
      <c r="AE91" s="309">
        <v>1989</v>
      </c>
      <c r="AF91" s="309">
        <v>1990</v>
      </c>
      <c r="AG91" s="309">
        <v>1991</v>
      </c>
      <c r="AH91" s="309">
        <v>1992</v>
      </c>
      <c r="AI91" s="309">
        <v>1993</v>
      </c>
      <c r="AJ91" s="309">
        <v>1994</v>
      </c>
      <c r="AK91" s="309">
        <v>1995</v>
      </c>
      <c r="AL91" s="309">
        <v>1996</v>
      </c>
      <c r="AM91" s="309">
        <v>1997</v>
      </c>
      <c r="AN91" s="309">
        <v>1998</v>
      </c>
      <c r="AO91" s="309">
        <v>1999</v>
      </c>
      <c r="AP91" s="309">
        <v>2000</v>
      </c>
      <c r="AQ91" s="309">
        <v>2001</v>
      </c>
      <c r="AR91" s="309">
        <v>2002</v>
      </c>
      <c r="AS91" s="309">
        <v>2003</v>
      </c>
      <c r="AT91" s="309">
        <v>2004</v>
      </c>
      <c r="AU91" s="309">
        <v>2005</v>
      </c>
      <c r="AV91" s="309">
        <v>2006</v>
      </c>
      <c r="AW91" s="309">
        <v>2007</v>
      </c>
      <c r="AX91" s="309">
        <v>2008</v>
      </c>
      <c r="AY91" s="309">
        <v>2009</v>
      </c>
      <c r="AZ91" s="309">
        <v>2010</v>
      </c>
      <c r="BA91" s="309">
        <v>2011</v>
      </c>
      <c r="BB91" s="309">
        <v>2012</v>
      </c>
      <c r="BC91" s="309">
        <v>2013</v>
      </c>
      <c r="BD91" s="309">
        <v>2014</v>
      </c>
      <c r="BE91" s="309">
        <v>2015</v>
      </c>
      <c r="BF91" s="309">
        <v>2016</v>
      </c>
      <c r="BG91" s="309">
        <v>2017</v>
      </c>
      <c r="BH91" s="309">
        <v>2018</v>
      </c>
      <c r="BI91" s="309">
        <v>2019</v>
      </c>
      <c r="BJ91" s="309">
        <v>2020</v>
      </c>
    </row>
    <row r="92" spans="1:62" ht="12.75">
      <c r="A92" s="55" t="s">
        <v>221</v>
      </c>
      <c r="B92" s="94">
        <v>3.02</v>
      </c>
      <c r="C92" s="94"/>
      <c r="D92" s="94"/>
      <c r="E92" s="94"/>
      <c r="F92" s="94"/>
      <c r="G92" s="94">
        <v>3.33</v>
      </c>
      <c r="H92" s="94"/>
      <c r="I92" s="94"/>
      <c r="J92" s="94"/>
      <c r="K92" s="94"/>
      <c r="L92" s="94">
        <v>3.69</v>
      </c>
      <c r="M92" s="94"/>
      <c r="N92" s="94"/>
      <c r="O92" s="94"/>
      <c r="P92" s="94"/>
      <c r="Q92" s="94">
        <v>4.06</v>
      </c>
      <c r="R92" s="94"/>
      <c r="S92" s="94"/>
      <c r="T92" s="94"/>
      <c r="U92" s="94"/>
      <c r="V92" s="136">
        <v>4.451327</v>
      </c>
      <c r="W92" s="136">
        <v>4.534011</v>
      </c>
      <c r="X92" s="136">
        <v>4.613941</v>
      </c>
      <c r="Y92" s="136">
        <v>4.694936</v>
      </c>
      <c r="Z92" s="136">
        <v>4.775053</v>
      </c>
      <c r="AA92" s="136">
        <v>4.856521</v>
      </c>
      <c r="AB92" s="136">
        <v>4.940195</v>
      </c>
      <c r="AC92" s="136">
        <v>5.026353</v>
      </c>
      <c r="AD92" s="136">
        <v>5.113191</v>
      </c>
      <c r="AE92" s="136">
        <v>5.199681</v>
      </c>
      <c r="AF92" s="136">
        <v>5.28693</v>
      </c>
      <c r="AG92" s="136">
        <v>5.369791</v>
      </c>
      <c r="AH92" s="136">
        <v>5.454298</v>
      </c>
      <c r="AI92" s="136">
        <v>5.536208</v>
      </c>
      <c r="AJ92" s="136">
        <v>5.616681</v>
      </c>
      <c r="AK92" s="136">
        <v>5.697406</v>
      </c>
      <c r="AL92" s="136">
        <v>5.777318</v>
      </c>
      <c r="AM92" s="136">
        <v>5.858373</v>
      </c>
      <c r="AN92" s="136">
        <v>5.935741</v>
      </c>
      <c r="AO92" s="136">
        <v>6.012441</v>
      </c>
      <c r="AP92" s="136">
        <v>6.088684</v>
      </c>
      <c r="AQ92" s="136">
        <v>6.165324</v>
      </c>
      <c r="AR92" s="136">
        <v>6.241718</v>
      </c>
      <c r="AS92" s="136">
        <v>6.317426</v>
      </c>
      <c r="AT92" s="136">
        <v>6.393121</v>
      </c>
      <c r="AU92" s="136">
        <v>6.46913</v>
      </c>
      <c r="AV92" s="278"/>
      <c r="AW92" s="278"/>
      <c r="AX92" s="278"/>
      <c r="AY92" s="278"/>
      <c r="AZ92" s="136"/>
      <c r="BA92" s="94"/>
      <c r="BB92" s="94"/>
      <c r="BC92" s="94"/>
      <c r="BD92" s="94"/>
      <c r="BE92" s="94"/>
      <c r="BF92" s="94"/>
      <c r="BG92" s="94"/>
      <c r="BH92" s="94"/>
      <c r="BI92" s="94"/>
      <c r="BJ92" s="94"/>
    </row>
    <row r="93" spans="47:57" ht="12.75">
      <c r="AU93" s="140"/>
      <c r="BA93" s="145"/>
      <c r="BB93" s="145"/>
      <c r="BC93" s="145"/>
      <c r="BD93" s="145"/>
      <c r="BE93" s="145"/>
    </row>
    <row r="94" spans="22:62" ht="12.75">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139"/>
      <c r="BB94" s="139"/>
      <c r="BC94" s="139"/>
      <c r="BD94" s="139"/>
      <c r="BE94" s="139"/>
      <c r="BF94" s="139"/>
      <c r="BG94" s="139"/>
      <c r="BH94" s="139"/>
      <c r="BI94" s="139"/>
      <c r="BJ94" s="139"/>
    </row>
    <row r="95" spans="51:52" ht="12.75">
      <c r="AY95" s="139"/>
      <c r="AZ95" s="139"/>
    </row>
    <row r="96" spans="39:52" ht="12.75">
      <c r="AM96" s="12"/>
      <c r="AN96" s="12"/>
      <c r="AO96" s="12"/>
      <c r="AP96" s="144"/>
      <c r="AU96" s="141"/>
      <c r="AY96" s="159"/>
      <c r="AZ96" s="159"/>
    </row>
    <row r="98" spans="42:53" ht="12.75">
      <c r="AP98" s="88"/>
      <c r="BA98" s="139"/>
    </row>
  </sheetData>
  <sheetProtection/>
  <hyperlinks>
    <hyperlink ref="A3" r:id="rId1" display="Kilder"/>
  </hyperlinks>
  <printOptions/>
  <pageMargins left="0.75" right="0.75" top="1" bottom="1" header="0" footer="0"/>
  <pageSetup horizontalDpi="300" verticalDpi="3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tabColor theme="2" tint="-0.24997000396251678"/>
  </sheetPr>
  <dimension ref="A1:V250"/>
  <sheetViews>
    <sheetView zoomScalePageLayoutView="0" workbookViewId="0" topLeftCell="A1">
      <selection activeCell="A2" sqref="A2"/>
    </sheetView>
  </sheetViews>
  <sheetFormatPr defaultColWidth="9.140625" defaultRowHeight="12.75"/>
  <cols>
    <col min="1" max="1" width="31.140625" style="0" customWidth="1"/>
    <col min="2" max="14" width="10.7109375" style="0" customWidth="1"/>
    <col min="17" max="17" width="12.7109375" style="0" bestFit="1" customWidth="1"/>
  </cols>
  <sheetData>
    <row r="1" spans="1:13" ht="12.75">
      <c r="A1" s="115" t="s">
        <v>433</v>
      </c>
      <c r="B1" s="1"/>
      <c r="C1" s="1"/>
      <c r="D1" s="1"/>
      <c r="E1" s="2"/>
      <c r="F1" s="2"/>
      <c r="G1" s="1"/>
      <c r="H1" s="1"/>
      <c r="I1" s="1"/>
      <c r="J1" s="1"/>
      <c r="K1" s="114"/>
      <c r="L1" s="1"/>
      <c r="M1" s="1"/>
    </row>
    <row r="2" spans="1:14" ht="12.75">
      <c r="A2" s="314" t="s">
        <v>428</v>
      </c>
      <c r="B2" s="1"/>
      <c r="F2" s="60"/>
      <c r="G2" s="60"/>
      <c r="H2" s="227"/>
      <c r="I2" s="60"/>
      <c r="J2" s="1"/>
      <c r="K2" s="10"/>
      <c r="L2" s="69"/>
      <c r="M2" s="10"/>
      <c r="N2" s="10"/>
    </row>
    <row r="3" spans="1:13" ht="12.75">
      <c r="A3" s="336" t="s">
        <v>203</v>
      </c>
      <c r="B3" s="61"/>
      <c r="C3" s="34"/>
      <c r="D3" s="7"/>
      <c r="E3" s="34"/>
      <c r="F3" s="60"/>
      <c r="G3" s="228"/>
      <c r="H3" s="10"/>
      <c r="I3" s="70"/>
      <c r="J3" s="71"/>
      <c r="K3" s="1"/>
      <c r="L3" s="1"/>
      <c r="M3" s="10"/>
    </row>
    <row r="4" spans="1:6" ht="12.75">
      <c r="A4" s="10"/>
      <c r="B4" s="72"/>
      <c r="C4" s="71"/>
      <c r="D4" s="1"/>
      <c r="E4" s="1"/>
      <c r="F4" s="10"/>
    </row>
    <row r="5" spans="1:9" ht="12.75">
      <c r="A5" s="441" t="str">
        <f>A17</f>
        <v>Albania</v>
      </c>
      <c r="B5" s="442" t="s">
        <v>236</v>
      </c>
      <c r="C5" s="442" t="s">
        <v>322</v>
      </c>
      <c r="D5" s="442" t="s">
        <v>323</v>
      </c>
      <c r="E5" s="443" t="s">
        <v>324</v>
      </c>
      <c r="F5" s="444" t="s">
        <v>325</v>
      </c>
      <c r="G5" s="445"/>
      <c r="H5" s="446"/>
      <c r="I5" s="445"/>
    </row>
    <row r="6" spans="1:9" ht="12.75">
      <c r="A6" s="447" t="s">
        <v>326</v>
      </c>
      <c r="B6" s="448">
        <f>E17/C17</f>
        <v>0.28800000000000003</v>
      </c>
      <c r="C6" s="449"/>
      <c r="D6" s="449"/>
      <c r="E6" s="450"/>
      <c r="F6" s="451"/>
      <c r="G6" s="452"/>
      <c r="H6" s="453"/>
      <c r="I6" s="452"/>
    </row>
    <row r="7" spans="1:9" ht="12.75">
      <c r="A7" s="447" t="s">
        <v>295</v>
      </c>
      <c r="B7" s="448">
        <f>F17/C17</f>
        <v>0.28500000000000003</v>
      </c>
      <c r="C7" s="449"/>
      <c r="D7" s="449"/>
      <c r="E7" s="450"/>
      <c r="F7" s="454"/>
      <c r="G7" s="452"/>
      <c r="H7" s="453"/>
      <c r="I7" s="452"/>
    </row>
    <row r="8" spans="1:9" ht="12.75">
      <c r="A8" s="455" t="s">
        <v>327</v>
      </c>
      <c r="B8" s="391">
        <f>F17/B17*1000000</f>
        <v>2738.3622994652405</v>
      </c>
      <c r="C8" s="456"/>
      <c r="D8" s="456"/>
      <c r="E8" s="457"/>
      <c r="F8" s="458"/>
      <c r="G8" s="452"/>
      <c r="H8" s="453"/>
      <c r="I8" s="452"/>
    </row>
    <row r="9" spans="1:22" ht="12.75">
      <c r="A9" s="459" t="s">
        <v>328</v>
      </c>
      <c r="B9" s="460">
        <f>B7-B6</f>
        <v>-0.0030000000000000027</v>
      </c>
      <c r="C9" s="461"/>
      <c r="D9" s="461"/>
      <c r="E9" s="462"/>
      <c r="F9" s="463"/>
      <c r="G9" s="452"/>
      <c r="H9" s="453"/>
      <c r="I9" s="452"/>
      <c r="T9" s="31"/>
      <c r="U9" s="31"/>
      <c r="V9" s="31"/>
    </row>
    <row r="10" spans="1:22" ht="13.5" thickBot="1">
      <c r="A10" s="447" t="s">
        <v>329</v>
      </c>
      <c r="B10" s="464">
        <v>1.5</v>
      </c>
      <c r="C10" s="465"/>
      <c r="D10" s="465"/>
      <c r="E10" s="466"/>
      <c r="F10" s="467"/>
      <c r="G10" s="332"/>
      <c r="H10" s="385" t="s">
        <v>263</v>
      </c>
      <c r="I10" s="392"/>
      <c r="T10" s="84"/>
      <c r="U10" s="83"/>
      <c r="V10" s="85"/>
    </row>
    <row r="11" spans="1:22" ht="13.5" thickBot="1">
      <c r="A11" s="471" t="s">
        <v>330</v>
      </c>
      <c r="B11" s="385">
        <f>B9*B10*100</f>
        <v>-0.4500000000000004</v>
      </c>
      <c r="C11" s="468"/>
      <c r="D11" s="468"/>
      <c r="E11" s="469"/>
      <c r="F11" s="470"/>
      <c r="G11" s="393">
        <f>SUM(B11:E11)</f>
        <v>-0.4500000000000004</v>
      </c>
      <c r="H11" s="393">
        <f>20+E14</f>
        <v>9.775</v>
      </c>
      <c r="I11" s="393">
        <f>30+G14</f>
        <v>19.8875</v>
      </c>
      <c r="T11" s="86"/>
      <c r="U11" s="86"/>
      <c r="V11" s="31"/>
    </row>
    <row r="12" spans="20:22" ht="12.75" hidden="1">
      <c r="T12" s="86"/>
      <c r="U12" s="86"/>
      <c r="V12" s="31"/>
    </row>
    <row r="13" spans="1:22" ht="12.75">
      <c r="A13" s="1"/>
      <c r="B13" s="1"/>
      <c r="C13" s="1"/>
      <c r="D13" s="3"/>
      <c r="E13" s="28">
        <f>G11-20</f>
        <v>-20.45</v>
      </c>
      <c r="G13" s="28">
        <f>H11-30</f>
        <v>-20.225</v>
      </c>
      <c r="H13" s="19">
        <f>I11-180</f>
        <v>-160.1125</v>
      </c>
      <c r="I13" s="37"/>
      <c r="T13" s="43"/>
      <c r="U13" s="86"/>
      <c r="V13" s="31"/>
    </row>
    <row r="14" spans="1:22" ht="12.75" hidden="1">
      <c r="A14" s="582" t="s">
        <v>286</v>
      </c>
      <c r="B14" s="1"/>
      <c r="C14" s="1"/>
      <c r="D14" s="3"/>
      <c r="E14" s="28">
        <f>E13/2</f>
        <v>-10.225</v>
      </c>
      <c r="G14" s="37">
        <f>G13/2</f>
        <v>-10.1125</v>
      </c>
      <c r="H14" s="19">
        <f>H13/2</f>
        <v>-80.05625</v>
      </c>
      <c r="I14" s="40"/>
      <c r="T14" s="43"/>
      <c r="U14" s="86"/>
      <c r="V14" s="31"/>
    </row>
    <row r="15" spans="1:22" ht="12.75">
      <c r="A15" s="288"/>
      <c r="B15" s="289" t="s">
        <v>257</v>
      </c>
      <c r="C15" s="389"/>
      <c r="D15" s="389"/>
      <c r="E15" s="389" t="s">
        <v>236</v>
      </c>
      <c r="F15" s="389" t="s">
        <v>236</v>
      </c>
      <c r="G15" s="310" t="s">
        <v>322</v>
      </c>
      <c r="H15" s="310" t="s">
        <v>322</v>
      </c>
      <c r="I15" s="310" t="s">
        <v>323</v>
      </c>
      <c r="J15" s="310" t="s">
        <v>323</v>
      </c>
      <c r="K15" s="310" t="s">
        <v>324</v>
      </c>
      <c r="L15" s="310" t="s">
        <v>324</v>
      </c>
      <c r="M15" s="310" t="s">
        <v>325</v>
      </c>
      <c r="N15" s="310" t="s">
        <v>325</v>
      </c>
      <c r="T15" s="43"/>
      <c r="U15" s="86"/>
      <c r="V15" s="31"/>
    </row>
    <row r="16" spans="1:22" ht="12.75">
      <c r="A16" s="288" t="s">
        <v>278</v>
      </c>
      <c r="B16" s="289">
        <v>2005</v>
      </c>
      <c r="C16" s="389" t="s">
        <v>331</v>
      </c>
      <c r="D16" s="389" t="s">
        <v>332</v>
      </c>
      <c r="E16" s="389">
        <v>1990</v>
      </c>
      <c r="F16" s="389">
        <v>2005</v>
      </c>
      <c r="G16" s="310" t="s">
        <v>333</v>
      </c>
      <c r="H16" s="310" t="s">
        <v>334</v>
      </c>
      <c r="I16" s="310" t="s">
        <v>333</v>
      </c>
      <c r="J16" s="310" t="s">
        <v>334</v>
      </c>
      <c r="K16" s="310" t="s">
        <v>333</v>
      </c>
      <c r="L16" s="310" t="s">
        <v>334</v>
      </c>
      <c r="M16" s="310" t="s">
        <v>333</v>
      </c>
      <c r="N16" s="310" t="s">
        <v>334</v>
      </c>
      <c r="T16" s="43"/>
      <c r="U16" s="86"/>
      <c r="V16" s="31"/>
    </row>
    <row r="17" spans="1:22" ht="12.75">
      <c r="A17" s="291" t="s">
        <v>35</v>
      </c>
      <c r="B17" s="293">
        <v>2992000</v>
      </c>
      <c r="C17" s="293">
        <v>28748</v>
      </c>
      <c r="D17" s="576"/>
      <c r="E17" s="386">
        <v>8279.424</v>
      </c>
      <c r="F17" s="386">
        <v>8193.18</v>
      </c>
      <c r="G17" s="576"/>
      <c r="H17" s="576"/>
      <c r="I17" s="576"/>
      <c r="J17" s="576"/>
      <c r="K17" s="576"/>
      <c r="L17" s="576"/>
      <c r="M17" s="576"/>
      <c r="N17" s="576"/>
      <c r="T17" s="31"/>
      <c r="U17" s="31"/>
      <c r="V17" s="31"/>
    </row>
    <row r="18" spans="1:15" ht="12.75">
      <c r="A18" s="1"/>
      <c r="B18" s="10"/>
      <c r="C18" s="65"/>
      <c r="E18" s="65"/>
      <c r="G18" s="65"/>
      <c r="H18" s="65"/>
      <c r="I18" s="65"/>
      <c r="J18" s="65"/>
      <c r="K18" s="65"/>
      <c r="L18" s="65"/>
      <c r="M18" s="65"/>
      <c r="N18" s="65"/>
      <c r="O18" s="472"/>
    </row>
    <row r="19" spans="1:16" ht="12.75" hidden="1">
      <c r="A19" s="556" t="s">
        <v>286</v>
      </c>
      <c r="P19" s="472"/>
    </row>
    <row r="20" spans="1:14" ht="13.5">
      <c r="A20" s="473"/>
      <c r="B20" s="474"/>
      <c r="C20" s="475" t="s">
        <v>335</v>
      </c>
      <c r="D20" s="475" t="s">
        <v>335</v>
      </c>
      <c r="E20" s="475" t="s">
        <v>335</v>
      </c>
      <c r="F20" s="475" t="s">
        <v>335</v>
      </c>
      <c r="G20" s="475" t="s">
        <v>335</v>
      </c>
      <c r="H20" s="475" t="s">
        <v>335</v>
      </c>
      <c r="I20" s="475" t="s">
        <v>335</v>
      </c>
      <c r="J20" s="475" t="s">
        <v>335</v>
      </c>
      <c r="K20" s="475" t="s">
        <v>335</v>
      </c>
      <c r="L20" s="475" t="s">
        <v>335</v>
      </c>
      <c r="M20" s="475" t="s">
        <v>335</v>
      </c>
      <c r="N20" s="475" t="s">
        <v>335</v>
      </c>
    </row>
    <row r="21" spans="1:14" ht="12.75">
      <c r="A21" s="340" t="s">
        <v>290</v>
      </c>
      <c r="B21" s="289" t="s">
        <v>257</v>
      </c>
      <c r="C21" s="389"/>
      <c r="D21" s="389"/>
      <c r="E21" s="389" t="s">
        <v>236</v>
      </c>
      <c r="F21" s="389" t="s">
        <v>236</v>
      </c>
      <c r="G21" s="310" t="s">
        <v>322</v>
      </c>
      <c r="H21" s="310" t="s">
        <v>322</v>
      </c>
      <c r="I21" s="310" t="s">
        <v>323</v>
      </c>
      <c r="J21" s="310" t="s">
        <v>323</v>
      </c>
      <c r="K21" s="310" t="s">
        <v>324</v>
      </c>
      <c r="L21" s="310" t="s">
        <v>324</v>
      </c>
      <c r="M21" s="310" t="s">
        <v>325</v>
      </c>
      <c r="N21" s="310" t="s">
        <v>325</v>
      </c>
    </row>
    <row r="22" spans="1:20" ht="12.75">
      <c r="A22" s="292" t="s">
        <v>240</v>
      </c>
      <c r="B22" s="289">
        <v>2005</v>
      </c>
      <c r="C22" s="389" t="s">
        <v>331</v>
      </c>
      <c r="D22" s="389" t="s">
        <v>332</v>
      </c>
      <c r="E22" s="389">
        <v>1990</v>
      </c>
      <c r="F22" s="389">
        <v>2005</v>
      </c>
      <c r="G22" s="310" t="s">
        <v>333</v>
      </c>
      <c r="H22" s="310" t="s">
        <v>334</v>
      </c>
      <c r="I22" s="310" t="s">
        <v>333</v>
      </c>
      <c r="J22" s="310" t="s">
        <v>334</v>
      </c>
      <c r="K22" s="310" t="s">
        <v>333</v>
      </c>
      <c r="L22" s="310" t="s">
        <v>334</v>
      </c>
      <c r="M22" s="310" t="s">
        <v>333</v>
      </c>
      <c r="N22" s="310" t="s">
        <v>334</v>
      </c>
      <c r="T22" s="79"/>
    </row>
    <row r="23" spans="1:21" ht="12.75">
      <c r="A23" s="291" t="s">
        <v>187</v>
      </c>
      <c r="B23" s="298">
        <v>26912000</v>
      </c>
      <c r="C23" s="293">
        <v>652090</v>
      </c>
      <c r="D23" s="576"/>
      <c r="E23" s="386">
        <v>13693.89</v>
      </c>
      <c r="F23" s="386">
        <v>13693.89</v>
      </c>
      <c r="G23" s="576"/>
      <c r="H23" s="576"/>
      <c r="I23" s="576"/>
      <c r="J23" s="576"/>
      <c r="K23" s="576"/>
      <c r="L23" s="576"/>
      <c r="M23" s="576"/>
      <c r="N23" s="576"/>
      <c r="Q23" s="298">
        <v>26912000</v>
      </c>
      <c r="R23" s="293">
        <v>652090</v>
      </c>
      <c r="S23" s="576"/>
      <c r="T23" s="386">
        <v>13693.89</v>
      </c>
      <c r="U23" s="386">
        <v>13693.89</v>
      </c>
    </row>
    <row r="24" spans="1:21" ht="12.75">
      <c r="A24" s="291" t="s">
        <v>35</v>
      </c>
      <c r="B24" s="293">
        <v>2992000</v>
      </c>
      <c r="C24" s="293">
        <v>28748</v>
      </c>
      <c r="D24" s="576"/>
      <c r="E24" s="386">
        <v>8279.424</v>
      </c>
      <c r="F24" s="386">
        <v>8193.18</v>
      </c>
      <c r="G24" s="576"/>
      <c r="H24" s="576"/>
      <c r="I24" s="576"/>
      <c r="J24" s="576"/>
      <c r="K24" s="576"/>
      <c r="L24" s="576"/>
      <c r="M24" s="576"/>
      <c r="N24" s="576"/>
      <c r="Q24" s="293">
        <v>2992000</v>
      </c>
      <c r="R24" s="293">
        <v>28748</v>
      </c>
      <c r="S24" s="576"/>
      <c r="T24" s="386">
        <v>8279.424</v>
      </c>
      <c r="U24" s="386">
        <v>8193.18</v>
      </c>
    </row>
    <row r="25" spans="1:21" ht="12.75">
      <c r="A25" s="291" t="s">
        <v>51</v>
      </c>
      <c r="B25" s="293">
        <v>33363000</v>
      </c>
      <c r="C25" s="293">
        <v>2381741</v>
      </c>
      <c r="D25" s="576"/>
      <c r="E25" s="386">
        <v>16672.186999999998</v>
      </c>
      <c r="F25" s="386">
        <v>14290.446</v>
      </c>
      <c r="G25" s="576"/>
      <c r="H25" s="576"/>
      <c r="I25" s="576"/>
      <c r="J25" s="576"/>
      <c r="K25" s="576"/>
      <c r="L25" s="576"/>
      <c r="M25" s="576"/>
      <c r="N25" s="576"/>
      <c r="Q25" s="293">
        <v>33363000</v>
      </c>
      <c r="R25" s="293">
        <v>2381741</v>
      </c>
      <c r="S25" s="576"/>
      <c r="T25" s="386">
        <v>16672.186999999998</v>
      </c>
      <c r="U25" s="386">
        <v>14290.446</v>
      </c>
    </row>
    <row r="26" spans="1:21" ht="12.75">
      <c r="A26" s="291" t="s">
        <v>152</v>
      </c>
      <c r="B26" s="293">
        <v>12264000</v>
      </c>
      <c r="C26" s="293">
        <v>1246700</v>
      </c>
      <c r="D26" s="576"/>
      <c r="E26" s="386">
        <v>609636.3</v>
      </c>
      <c r="F26" s="386">
        <v>590935.8</v>
      </c>
      <c r="G26" s="576"/>
      <c r="H26" s="576"/>
      <c r="I26" s="576"/>
      <c r="J26" s="576"/>
      <c r="K26" s="576"/>
      <c r="L26" s="576"/>
      <c r="M26" s="576"/>
      <c r="N26" s="576"/>
      <c r="Q26" s="293">
        <v>12264000</v>
      </c>
      <c r="R26" s="293">
        <v>1246700</v>
      </c>
      <c r="S26" s="576"/>
      <c r="T26" s="386">
        <v>609636.3</v>
      </c>
      <c r="U26" s="386">
        <v>590935.8</v>
      </c>
    </row>
    <row r="27" spans="1:21" ht="12.75">
      <c r="A27" s="291" t="s">
        <v>39</v>
      </c>
      <c r="B27" s="293">
        <v>83000</v>
      </c>
      <c r="C27" s="293">
        <v>442</v>
      </c>
      <c r="D27" s="576"/>
      <c r="E27" s="386">
        <v>100.33399999999999</v>
      </c>
      <c r="F27" s="386">
        <v>98.124</v>
      </c>
      <c r="G27" s="576"/>
      <c r="H27" s="576"/>
      <c r="I27" s="576"/>
      <c r="J27" s="576"/>
      <c r="K27" s="576"/>
      <c r="L27" s="576"/>
      <c r="M27" s="576"/>
      <c r="N27" s="576"/>
      <c r="Q27" s="293">
        <v>83000</v>
      </c>
      <c r="R27" s="293">
        <v>442</v>
      </c>
      <c r="S27" s="576"/>
      <c r="T27" s="386">
        <v>100.33399999999999</v>
      </c>
      <c r="U27" s="386">
        <v>98.124</v>
      </c>
    </row>
    <row r="28" spans="1:21" ht="12.75">
      <c r="A28" s="291" t="s">
        <v>75</v>
      </c>
      <c r="B28" s="293">
        <v>40049000</v>
      </c>
      <c r="C28" s="293">
        <v>2780400</v>
      </c>
      <c r="D28" s="576"/>
      <c r="E28" s="386">
        <v>353110.8</v>
      </c>
      <c r="F28" s="386">
        <v>311404.8</v>
      </c>
      <c r="G28" s="576"/>
      <c r="H28" s="576"/>
      <c r="I28" s="576"/>
      <c r="J28" s="576"/>
      <c r="K28" s="576"/>
      <c r="L28" s="576"/>
      <c r="M28" s="576"/>
      <c r="N28" s="576"/>
      <c r="Q28" s="293">
        <v>40049000</v>
      </c>
      <c r="R28" s="293">
        <v>2780400</v>
      </c>
      <c r="S28" s="576"/>
      <c r="T28" s="386">
        <v>353110.8</v>
      </c>
      <c r="U28" s="386">
        <v>311404.8</v>
      </c>
    </row>
    <row r="29" spans="1:21" ht="12.75">
      <c r="A29" s="291" t="s">
        <v>80</v>
      </c>
      <c r="B29" s="293">
        <v>2972000</v>
      </c>
      <c r="C29" s="293">
        <v>29743</v>
      </c>
      <c r="D29" s="576"/>
      <c r="E29" s="386">
        <v>3658.389</v>
      </c>
      <c r="F29" s="386">
        <v>2974.3</v>
      </c>
      <c r="G29" s="576"/>
      <c r="H29" s="576"/>
      <c r="I29" s="576"/>
      <c r="J29" s="576"/>
      <c r="K29" s="576"/>
      <c r="L29" s="576"/>
      <c r="M29" s="576"/>
      <c r="N29" s="576"/>
      <c r="Q29" s="293">
        <v>2972000</v>
      </c>
      <c r="R29" s="293">
        <v>29743</v>
      </c>
      <c r="S29" s="576"/>
      <c r="T29" s="386">
        <v>3658.389</v>
      </c>
      <c r="U29" s="386">
        <v>2974.3</v>
      </c>
    </row>
    <row r="30" spans="1:21" ht="12.75">
      <c r="A30" s="291" t="s">
        <v>160</v>
      </c>
      <c r="B30" s="293">
        <v>100000</v>
      </c>
      <c r="C30" s="293">
        <v>140</v>
      </c>
      <c r="D30" s="576"/>
      <c r="E30" s="386">
        <v>0</v>
      </c>
      <c r="F30" s="386">
        <v>0</v>
      </c>
      <c r="G30" s="576"/>
      <c r="H30" s="576"/>
      <c r="I30" s="576"/>
      <c r="J30" s="576"/>
      <c r="K30" s="576"/>
      <c r="L30" s="576"/>
      <c r="M30" s="576"/>
      <c r="N30" s="576"/>
      <c r="Q30" s="293">
        <v>100000</v>
      </c>
      <c r="R30" s="293">
        <v>140</v>
      </c>
      <c r="S30" s="576"/>
      <c r="T30" s="386">
        <v>0</v>
      </c>
      <c r="U30" s="386">
        <v>0</v>
      </c>
    </row>
    <row r="31" spans="1:21" ht="12.75">
      <c r="A31" s="291" t="s">
        <v>59</v>
      </c>
      <c r="B31" s="293">
        <v>20750000</v>
      </c>
      <c r="C31" s="293">
        <v>7692024</v>
      </c>
      <c r="D31" s="576"/>
      <c r="E31" s="386">
        <v>1546096.8240000003</v>
      </c>
      <c r="F31" s="386">
        <v>1538404.8</v>
      </c>
      <c r="G31" s="576"/>
      <c r="H31" s="576"/>
      <c r="I31" s="576"/>
      <c r="J31" s="576"/>
      <c r="K31" s="576"/>
      <c r="L31" s="576"/>
      <c r="M31" s="576"/>
      <c r="N31" s="576"/>
      <c r="Q31" s="293">
        <v>20750000</v>
      </c>
      <c r="R31" s="293">
        <v>7692024</v>
      </c>
      <c r="S31" s="576"/>
      <c r="T31" s="386">
        <v>1546096.8240000003</v>
      </c>
      <c r="U31" s="386">
        <v>1538404.8</v>
      </c>
    </row>
    <row r="32" spans="1:21" ht="12.75">
      <c r="A32" s="291" t="s">
        <v>23</v>
      </c>
      <c r="B32" s="293">
        <v>8200000</v>
      </c>
      <c r="C32" s="293">
        <v>83871</v>
      </c>
      <c r="D32" s="576"/>
      <c r="E32" s="386">
        <v>38412.918</v>
      </c>
      <c r="F32" s="386">
        <v>39251.628</v>
      </c>
      <c r="G32" s="576"/>
      <c r="H32" s="576"/>
      <c r="I32" s="576"/>
      <c r="J32" s="576"/>
      <c r="K32" s="576"/>
      <c r="L32" s="576"/>
      <c r="M32" s="576"/>
      <c r="N32" s="576"/>
      <c r="Q32" s="293">
        <v>8200000</v>
      </c>
      <c r="R32" s="293">
        <v>83871</v>
      </c>
      <c r="S32" s="576"/>
      <c r="T32" s="386">
        <v>38412.918</v>
      </c>
      <c r="U32" s="386">
        <v>39251.628</v>
      </c>
    </row>
    <row r="33" spans="1:21" ht="12.75">
      <c r="A33" s="291" t="s">
        <v>87</v>
      </c>
      <c r="B33" s="293">
        <v>8120000</v>
      </c>
      <c r="C33" s="293">
        <v>86600</v>
      </c>
      <c r="D33" s="576"/>
      <c r="E33" s="386">
        <v>9785.8</v>
      </c>
      <c r="F33" s="386">
        <v>9785.8</v>
      </c>
      <c r="G33" s="576"/>
      <c r="H33" s="576"/>
      <c r="I33" s="576"/>
      <c r="J33" s="576"/>
      <c r="K33" s="576"/>
      <c r="L33" s="576"/>
      <c r="M33" s="576"/>
      <c r="N33" s="576"/>
      <c r="Q33" s="293">
        <v>8120000</v>
      </c>
      <c r="R33" s="293">
        <v>86600</v>
      </c>
      <c r="S33" s="576"/>
      <c r="T33" s="386">
        <v>9785.8</v>
      </c>
      <c r="U33" s="386">
        <v>9785.8</v>
      </c>
    </row>
    <row r="34" spans="1:21" ht="12.75">
      <c r="A34" s="291" t="s">
        <v>167</v>
      </c>
      <c r="B34" s="293">
        <v>302000</v>
      </c>
      <c r="C34" s="293">
        <v>13943</v>
      </c>
      <c r="D34" s="576"/>
      <c r="E34" s="386">
        <v>7166.702</v>
      </c>
      <c r="F34" s="386">
        <v>7166.702</v>
      </c>
      <c r="G34" s="576"/>
      <c r="H34" s="576"/>
      <c r="I34" s="576"/>
      <c r="J34" s="576"/>
      <c r="K34" s="576"/>
      <c r="L34" s="576"/>
      <c r="M34" s="576"/>
      <c r="N34" s="576"/>
      <c r="Q34" s="293">
        <v>302000</v>
      </c>
      <c r="R34" s="293">
        <v>13943</v>
      </c>
      <c r="S34" s="576"/>
      <c r="T34" s="386">
        <v>7166.702</v>
      </c>
      <c r="U34" s="386">
        <v>7166.702</v>
      </c>
    </row>
    <row r="35" spans="1:21" ht="12.75">
      <c r="A35" s="291" t="s">
        <v>0</v>
      </c>
      <c r="B35" s="293">
        <v>709000</v>
      </c>
      <c r="C35" s="293">
        <v>741</v>
      </c>
      <c r="D35" s="576"/>
      <c r="E35" s="386">
        <v>0</v>
      </c>
      <c r="F35" s="386">
        <v>0</v>
      </c>
      <c r="G35" s="576"/>
      <c r="H35" s="576"/>
      <c r="I35" s="576"/>
      <c r="J35" s="576"/>
      <c r="K35" s="576"/>
      <c r="L35" s="576"/>
      <c r="M35" s="576"/>
      <c r="N35" s="576"/>
      <c r="Q35" s="293">
        <v>709000</v>
      </c>
      <c r="R35" s="293">
        <v>741</v>
      </c>
      <c r="S35" s="576"/>
      <c r="T35" s="386">
        <v>0</v>
      </c>
      <c r="U35" s="386">
        <v>0</v>
      </c>
    </row>
    <row r="36" spans="1:21" ht="12.75">
      <c r="A36" s="291" t="s">
        <v>133</v>
      </c>
      <c r="B36" s="293">
        <v>148894000</v>
      </c>
      <c r="C36" s="293">
        <v>143998</v>
      </c>
      <c r="D36" s="576"/>
      <c r="E36" s="386">
        <v>16559.77</v>
      </c>
      <c r="F36" s="386">
        <v>16127.776</v>
      </c>
      <c r="G36" s="576"/>
      <c r="H36" s="576"/>
      <c r="I36" s="576"/>
      <c r="J36" s="576"/>
      <c r="K36" s="576"/>
      <c r="L36" s="576"/>
      <c r="M36" s="576"/>
      <c r="N36" s="576"/>
      <c r="Q36" s="293">
        <v>148894000</v>
      </c>
      <c r="R36" s="293">
        <v>143998</v>
      </c>
      <c r="S36" s="576"/>
      <c r="T36" s="386">
        <v>16559.77</v>
      </c>
      <c r="U36" s="386">
        <v>16127.776</v>
      </c>
    </row>
    <row r="37" spans="1:21" ht="12.75">
      <c r="A37" s="291" t="s">
        <v>170</v>
      </c>
      <c r="B37" s="293">
        <v>282000</v>
      </c>
      <c r="C37" s="293">
        <v>430</v>
      </c>
      <c r="D37" s="576"/>
      <c r="E37" s="386">
        <v>79.98</v>
      </c>
      <c r="F37" s="386">
        <v>79.98</v>
      </c>
      <c r="G37" s="576"/>
      <c r="H37" s="576"/>
      <c r="I37" s="576"/>
      <c r="J37" s="576"/>
      <c r="K37" s="576"/>
      <c r="L37" s="576"/>
      <c r="M37" s="576"/>
      <c r="N37" s="576"/>
      <c r="Q37" s="293">
        <v>282000</v>
      </c>
      <c r="R37" s="293">
        <v>430</v>
      </c>
      <c r="S37" s="576"/>
      <c r="T37" s="386">
        <v>79.98</v>
      </c>
      <c r="U37" s="386">
        <v>79.98</v>
      </c>
    </row>
    <row r="38" spans="1:21" ht="12.75">
      <c r="A38" s="291" t="s">
        <v>61</v>
      </c>
      <c r="B38" s="293">
        <v>9725000</v>
      </c>
      <c r="C38" s="293">
        <v>208000</v>
      </c>
      <c r="D38" s="576"/>
      <c r="E38" s="386">
        <v>78000</v>
      </c>
      <c r="F38" s="386">
        <v>84656</v>
      </c>
      <c r="G38" s="576"/>
      <c r="H38" s="576"/>
      <c r="I38" s="576"/>
      <c r="J38" s="576"/>
      <c r="K38" s="576"/>
      <c r="L38" s="576"/>
      <c r="M38" s="576"/>
      <c r="N38" s="576"/>
      <c r="Q38" s="293">
        <v>9725000</v>
      </c>
      <c r="R38" s="293">
        <v>208000</v>
      </c>
      <c r="S38" s="576"/>
      <c r="T38" s="386">
        <v>78000</v>
      </c>
      <c r="U38" s="386">
        <v>84656</v>
      </c>
    </row>
    <row r="39" spans="1:21" ht="12.75">
      <c r="A39" s="291" t="s">
        <v>89</v>
      </c>
      <c r="B39" s="293">
        <v>10392000</v>
      </c>
      <c r="C39" s="293">
        <v>30528</v>
      </c>
      <c r="D39" s="576"/>
      <c r="E39" s="386">
        <v>6838.271999999999</v>
      </c>
      <c r="F39" s="386">
        <v>6777.215999999999</v>
      </c>
      <c r="G39" s="576"/>
      <c r="H39" s="576"/>
      <c r="I39" s="576"/>
      <c r="J39" s="576"/>
      <c r="K39" s="576"/>
      <c r="L39" s="576"/>
      <c r="M39" s="576"/>
      <c r="N39" s="576"/>
      <c r="Q39" s="293">
        <v>10392000</v>
      </c>
      <c r="R39" s="293">
        <v>30528</v>
      </c>
      <c r="S39" s="576"/>
      <c r="T39" s="386">
        <v>6838.271999999999</v>
      </c>
      <c r="U39" s="386">
        <v>6777.215999999999</v>
      </c>
    </row>
    <row r="40" spans="1:21" ht="12.75">
      <c r="A40" s="291" t="s">
        <v>38</v>
      </c>
      <c r="B40" s="293">
        <v>295000</v>
      </c>
      <c r="C40" s="293">
        <v>22966</v>
      </c>
      <c r="D40" s="576"/>
      <c r="E40" s="386">
        <v>15984.336</v>
      </c>
      <c r="F40" s="386">
        <v>14514.512</v>
      </c>
      <c r="G40" s="576"/>
      <c r="H40" s="576"/>
      <c r="I40" s="576"/>
      <c r="J40" s="576"/>
      <c r="K40" s="576"/>
      <c r="L40" s="576"/>
      <c r="M40" s="576"/>
      <c r="N40" s="576"/>
      <c r="Q40" s="293">
        <v>295000</v>
      </c>
      <c r="R40" s="293">
        <v>22966</v>
      </c>
      <c r="S40" s="576"/>
      <c r="T40" s="386">
        <v>15984.336</v>
      </c>
      <c r="U40" s="386">
        <v>14514.512</v>
      </c>
    </row>
    <row r="41" spans="1:21" ht="12.75">
      <c r="A41" s="291" t="s">
        <v>147</v>
      </c>
      <c r="B41" s="293">
        <v>8278000</v>
      </c>
      <c r="C41" s="293">
        <v>112622</v>
      </c>
      <c r="D41" s="576"/>
      <c r="E41" s="386">
        <v>58676.062000000005</v>
      </c>
      <c r="F41" s="386">
        <v>48990.57</v>
      </c>
      <c r="G41" s="576"/>
      <c r="H41" s="576"/>
      <c r="I41" s="576"/>
      <c r="J41" s="576"/>
      <c r="K41" s="576"/>
      <c r="L41" s="576"/>
      <c r="M41" s="576"/>
      <c r="N41" s="576"/>
      <c r="Q41" s="293">
        <v>8278000</v>
      </c>
      <c r="R41" s="293">
        <v>112622</v>
      </c>
      <c r="S41" s="576"/>
      <c r="T41" s="386">
        <v>58676.062000000005</v>
      </c>
      <c r="U41" s="386">
        <v>48990.57</v>
      </c>
    </row>
    <row r="42" spans="1:21" ht="12.75">
      <c r="A42" s="291" t="s">
        <v>165</v>
      </c>
      <c r="B42" s="293">
        <v>67000</v>
      </c>
      <c r="C42" s="293">
        <v>53</v>
      </c>
      <c r="D42" s="576"/>
      <c r="E42" s="386">
        <v>10.6</v>
      </c>
      <c r="F42" s="386">
        <v>10.6</v>
      </c>
      <c r="G42" s="576"/>
      <c r="H42" s="576"/>
      <c r="I42" s="576"/>
      <c r="J42" s="576"/>
      <c r="K42" s="576"/>
      <c r="L42" s="576"/>
      <c r="M42" s="576"/>
      <c r="N42" s="576"/>
      <c r="Q42" s="293">
        <v>67000</v>
      </c>
      <c r="R42" s="293">
        <v>53</v>
      </c>
      <c r="S42" s="576"/>
      <c r="T42" s="386">
        <v>10.6</v>
      </c>
      <c r="U42" s="386">
        <v>10.6</v>
      </c>
    </row>
    <row r="43" spans="1:21" ht="12.75">
      <c r="A43" s="291" t="s">
        <v>50</v>
      </c>
      <c r="B43" s="293">
        <v>673000</v>
      </c>
      <c r="C43" s="293">
        <v>38394</v>
      </c>
      <c r="D43" s="576"/>
      <c r="E43" s="386">
        <v>24802.523999999998</v>
      </c>
      <c r="F43" s="386">
        <v>26107.92</v>
      </c>
      <c r="G43" s="576"/>
      <c r="H43" s="576"/>
      <c r="I43" s="576"/>
      <c r="J43" s="576"/>
      <c r="K43" s="576"/>
      <c r="L43" s="576"/>
      <c r="M43" s="576"/>
      <c r="N43" s="576"/>
      <c r="Q43" s="293">
        <v>673000</v>
      </c>
      <c r="R43" s="293">
        <v>38394</v>
      </c>
      <c r="S43" s="576"/>
      <c r="T43" s="386">
        <v>24802.523999999998</v>
      </c>
      <c r="U43" s="386">
        <v>26107.92</v>
      </c>
    </row>
    <row r="44" spans="1:21" ht="12.75">
      <c r="A44" s="291" t="s">
        <v>131</v>
      </c>
      <c r="B44" s="293">
        <v>9426000</v>
      </c>
      <c r="C44" s="293">
        <v>1098581</v>
      </c>
      <c r="D44" s="576"/>
      <c r="E44" s="386">
        <v>636078.399</v>
      </c>
      <c r="F44" s="386">
        <v>595430.902</v>
      </c>
      <c r="G44" s="576"/>
      <c r="H44" s="576"/>
      <c r="I44" s="576"/>
      <c r="J44" s="576"/>
      <c r="K44" s="576"/>
      <c r="L44" s="576"/>
      <c r="M44" s="576"/>
      <c r="N44" s="576"/>
      <c r="Q44" s="293">
        <v>9426000</v>
      </c>
      <c r="R44" s="293">
        <v>1098581</v>
      </c>
      <c r="S44" s="576"/>
      <c r="T44" s="386">
        <v>636078.399</v>
      </c>
      <c r="U44" s="386">
        <v>595430.902</v>
      </c>
    </row>
    <row r="45" spans="1:21" ht="12.75">
      <c r="A45" s="291" t="s">
        <v>1</v>
      </c>
      <c r="B45" s="293">
        <v>4552000</v>
      </c>
      <c r="C45" s="293">
        <v>51197</v>
      </c>
      <c r="D45" s="576"/>
      <c r="E45" s="386">
        <v>22117.104000000003</v>
      </c>
      <c r="F45" s="386">
        <v>21861.119000000002</v>
      </c>
      <c r="G45" s="576"/>
      <c r="H45" s="576"/>
      <c r="I45" s="576"/>
      <c r="J45" s="576"/>
      <c r="K45" s="576"/>
      <c r="L45" s="576"/>
      <c r="M45" s="576"/>
      <c r="N45" s="576"/>
      <c r="Q45" s="293">
        <v>4552000</v>
      </c>
      <c r="R45" s="293">
        <v>51197</v>
      </c>
      <c r="S45" s="576"/>
      <c r="T45" s="386">
        <v>22117.104000000003</v>
      </c>
      <c r="U45" s="386">
        <v>21861.119000000002</v>
      </c>
    </row>
    <row r="46" spans="1:21" ht="12.75">
      <c r="A46" s="291" t="s">
        <v>142</v>
      </c>
      <c r="B46" s="293">
        <v>1913000</v>
      </c>
      <c r="C46" s="293">
        <v>582000</v>
      </c>
      <c r="D46" s="576"/>
      <c r="E46" s="386">
        <v>140844</v>
      </c>
      <c r="F46" s="386">
        <v>122802</v>
      </c>
      <c r="G46" s="576"/>
      <c r="H46" s="576"/>
      <c r="I46" s="576"/>
      <c r="J46" s="576"/>
      <c r="K46" s="576"/>
      <c r="L46" s="576"/>
      <c r="M46" s="576"/>
      <c r="N46" s="576"/>
      <c r="Q46" s="293">
        <v>1913000</v>
      </c>
      <c r="R46" s="293">
        <v>582000</v>
      </c>
      <c r="S46" s="576"/>
      <c r="T46" s="386">
        <v>140844</v>
      </c>
      <c r="U46" s="386">
        <v>122802</v>
      </c>
    </row>
    <row r="47" spans="1:21" ht="12.75">
      <c r="A47" s="291" t="s">
        <v>68</v>
      </c>
      <c r="B47" s="293">
        <v>193919000</v>
      </c>
      <c r="C47" s="293">
        <v>8514877</v>
      </c>
      <c r="D47" s="576"/>
      <c r="E47" s="386">
        <v>5875265.13</v>
      </c>
      <c r="F47" s="386">
        <v>5423976.649</v>
      </c>
      <c r="G47" s="576"/>
      <c r="H47" s="576"/>
      <c r="I47" s="576"/>
      <c r="J47" s="576"/>
      <c r="K47" s="576"/>
      <c r="L47" s="576"/>
      <c r="M47" s="576"/>
      <c r="N47" s="576"/>
      <c r="Q47" s="293">
        <v>193919000</v>
      </c>
      <c r="R47" s="293">
        <v>8514877</v>
      </c>
      <c r="S47" s="576"/>
      <c r="T47" s="386">
        <v>5875265.13</v>
      </c>
      <c r="U47" s="386">
        <v>5423976.649</v>
      </c>
    </row>
    <row r="48" spans="1:21" ht="12.75">
      <c r="A48" s="291" t="s">
        <v>269</v>
      </c>
      <c r="B48" s="293">
        <v>375000</v>
      </c>
      <c r="C48" s="293">
        <v>5765</v>
      </c>
      <c r="D48" s="576"/>
      <c r="E48" s="386">
        <v>4519.76</v>
      </c>
      <c r="F48" s="386">
        <v>4254.57</v>
      </c>
      <c r="G48" s="576"/>
      <c r="H48" s="576"/>
      <c r="I48" s="576"/>
      <c r="J48" s="576"/>
      <c r="K48" s="576"/>
      <c r="L48" s="576"/>
      <c r="M48" s="576"/>
      <c r="N48" s="576"/>
      <c r="Q48" s="293">
        <v>375000</v>
      </c>
      <c r="R48" s="293">
        <v>5765</v>
      </c>
      <c r="S48" s="576"/>
      <c r="T48" s="386">
        <v>4519.76</v>
      </c>
      <c r="U48" s="386">
        <v>4254.57</v>
      </c>
    </row>
    <row r="49" spans="1:21" ht="12.75">
      <c r="A49" s="291" t="s">
        <v>71</v>
      </c>
      <c r="B49" s="293">
        <v>7323000</v>
      </c>
      <c r="C49" s="293">
        <v>110879</v>
      </c>
      <c r="D49" s="576"/>
      <c r="E49" s="386">
        <v>33374.579</v>
      </c>
      <c r="F49" s="386">
        <v>37255.344</v>
      </c>
      <c r="G49" s="576"/>
      <c r="H49" s="576"/>
      <c r="I49" s="576"/>
      <c r="J49" s="576"/>
      <c r="K49" s="576"/>
      <c r="L49" s="576"/>
      <c r="M49" s="576"/>
      <c r="N49" s="576"/>
      <c r="Q49" s="293">
        <v>7323000</v>
      </c>
      <c r="R49" s="293">
        <v>110879</v>
      </c>
      <c r="S49" s="576"/>
      <c r="T49" s="386">
        <v>33374.579</v>
      </c>
      <c r="U49" s="386">
        <v>37255.344</v>
      </c>
    </row>
    <row r="50" spans="1:21" ht="12.75">
      <c r="A50" s="291" t="s">
        <v>123</v>
      </c>
      <c r="B50" s="293">
        <v>14797000</v>
      </c>
      <c r="C50" s="293">
        <v>274222</v>
      </c>
      <c r="D50" s="576"/>
      <c r="E50" s="386">
        <v>68555.5</v>
      </c>
      <c r="F50" s="386">
        <v>59506.17399999999</v>
      </c>
      <c r="G50" s="576"/>
      <c r="H50" s="576"/>
      <c r="I50" s="576"/>
      <c r="J50" s="576"/>
      <c r="K50" s="576"/>
      <c r="L50" s="576"/>
      <c r="M50" s="576"/>
      <c r="N50" s="576"/>
      <c r="Q50" s="293">
        <v>14797000</v>
      </c>
      <c r="R50" s="293">
        <v>274222</v>
      </c>
      <c r="S50" s="576"/>
      <c r="T50" s="386">
        <v>68555.5</v>
      </c>
      <c r="U50" s="386">
        <v>59506.17399999999</v>
      </c>
    </row>
    <row r="51" spans="1:21" ht="12.75">
      <c r="A51" s="291" t="s">
        <v>134</v>
      </c>
      <c r="B51" s="293">
        <v>8783000</v>
      </c>
      <c r="C51" s="293">
        <v>27834</v>
      </c>
      <c r="D51" s="576"/>
      <c r="E51" s="386">
        <v>3145.2419999999997</v>
      </c>
      <c r="F51" s="386">
        <v>1948.38</v>
      </c>
      <c r="G51" s="576"/>
      <c r="H51" s="576"/>
      <c r="I51" s="576"/>
      <c r="J51" s="576"/>
      <c r="K51" s="576"/>
      <c r="L51" s="576"/>
      <c r="M51" s="576"/>
      <c r="N51" s="576"/>
      <c r="Q51" s="293">
        <v>8783000</v>
      </c>
      <c r="R51" s="293">
        <v>27834</v>
      </c>
      <c r="S51" s="576"/>
      <c r="T51" s="386">
        <v>3145.2419999999997</v>
      </c>
      <c r="U51" s="386">
        <v>1948.38</v>
      </c>
    </row>
    <row r="52" spans="1:21" ht="12.75">
      <c r="A52" s="291" t="s">
        <v>141</v>
      </c>
      <c r="B52" s="293">
        <v>13719000</v>
      </c>
      <c r="C52" s="293">
        <v>181035</v>
      </c>
      <c r="D52" s="576"/>
      <c r="E52" s="386">
        <v>132698.655</v>
      </c>
      <c r="F52" s="386">
        <v>110069.28</v>
      </c>
      <c r="G52" s="576"/>
      <c r="H52" s="576"/>
      <c r="I52" s="576"/>
      <c r="J52" s="576"/>
      <c r="K52" s="576"/>
      <c r="L52" s="576"/>
      <c r="M52" s="576"/>
      <c r="N52" s="576"/>
      <c r="Q52" s="293">
        <v>13719000</v>
      </c>
      <c r="R52" s="293">
        <v>181035</v>
      </c>
      <c r="S52" s="576"/>
      <c r="T52" s="386">
        <v>132698.655</v>
      </c>
      <c r="U52" s="386">
        <v>110069.28</v>
      </c>
    </row>
    <row r="53" spans="1:21" ht="12.75">
      <c r="A53" s="291" t="s">
        <v>127</v>
      </c>
      <c r="B53" s="293">
        <v>18060000</v>
      </c>
      <c r="C53" s="293">
        <v>475442</v>
      </c>
      <c r="D53" s="576"/>
      <c r="E53" s="386">
        <v>244377.188</v>
      </c>
      <c r="F53" s="386">
        <v>211571.69</v>
      </c>
      <c r="G53" s="576"/>
      <c r="H53" s="576"/>
      <c r="I53" s="576"/>
      <c r="J53" s="576"/>
      <c r="K53" s="576"/>
      <c r="L53" s="576"/>
      <c r="M53" s="576"/>
      <c r="N53" s="576"/>
      <c r="Q53" s="293">
        <v>18060000</v>
      </c>
      <c r="R53" s="293">
        <v>475442</v>
      </c>
      <c r="S53" s="576"/>
      <c r="T53" s="386">
        <v>244377.188</v>
      </c>
      <c r="U53" s="386">
        <v>211571.69</v>
      </c>
    </row>
    <row r="54" spans="1:21" ht="12.75">
      <c r="A54" s="291" t="s">
        <v>2</v>
      </c>
      <c r="B54" s="293">
        <v>32936000</v>
      </c>
      <c r="C54" s="293">
        <v>9984670</v>
      </c>
      <c r="D54" s="576"/>
      <c r="E54" s="386">
        <v>3404772.47</v>
      </c>
      <c r="F54" s="386">
        <v>3404772.47</v>
      </c>
      <c r="G54" s="576"/>
      <c r="H54" s="576"/>
      <c r="I54" s="576"/>
      <c r="J54" s="576"/>
      <c r="K54" s="576"/>
      <c r="L54" s="576"/>
      <c r="M54" s="576"/>
      <c r="N54" s="576"/>
      <c r="Q54" s="293">
        <v>32936000</v>
      </c>
      <c r="R54" s="293">
        <v>9984670</v>
      </c>
      <c r="S54" s="576"/>
      <c r="T54" s="386">
        <v>3404772.47</v>
      </c>
      <c r="U54" s="386">
        <v>3404772.47</v>
      </c>
    </row>
    <row r="55" spans="1:21" ht="12.75">
      <c r="A55" s="291" t="s">
        <v>180</v>
      </c>
      <c r="B55" s="293">
        <v>486000</v>
      </c>
      <c r="C55" s="293">
        <v>4033</v>
      </c>
      <c r="D55" s="576"/>
      <c r="E55" s="386">
        <v>580.752</v>
      </c>
      <c r="F55" s="386">
        <v>838.864</v>
      </c>
      <c r="G55" s="576"/>
      <c r="H55" s="576"/>
      <c r="I55" s="576"/>
      <c r="J55" s="576"/>
      <c r="K55" s="576"/>
      <c r="L55" s="576"/>
      <c r="M55" s="576"/>
      <c r="N55" s="576"/>
      <c r="Q55" s="293">
        <v>486000</v>
      </c>
      <c r="R55" s="293">
        <v>4033</v>
      </c>
      <c r="S55" s="576"/>
      <c r="T55" s="386">
        <v>580.752</v>
      </c>
      <c r="U55" s="386">
        <v>838.864</v>
      </c>
    </row>
    <row r="56" spans="1:21" ht="12.75">
      <c r="A56" s="291" t="s">
        <v>163</v>
      </c>
      <c r="B56" s="293">
        <v>47000</v>
      </c>
      <c r="C56" s="293">
        <v>260</v>
      </c>
      <c r="D56" s="576"/>
      <c r="E56" s="386">
        <v>130</v>
      </c>
      <c r="F56" s="386">
        <v>130</v>
      </c>
      <c r="G56" s="576"/>
      <c r="H56" s="576"/>
      <c r="I56" s="576"/>
      <c r="J56" s="576"/>
      <c r="K56" s="576"/>
      <c r="L56" s="576"/>
      <c r="M56" s="576"/>
      <c r="N56" s="576"/>
      <c r="Q56" s="293">
        <v>47000</v>
      </c>
      <c r="R56" s="293">
        <v>260</v>
      </c>
      <c r="S56" s="576"/>
      <c r="T56" s="386">
        <v>130</v>
      </c>
      <c r="U56" s="386">
        <v>130</v>
      </c>
    </row>
    <row r="57" spans="1:21" ht="12.75">
      <c r="A57" s="291" t="s">
        <v>154</v>
      </c>
      <c r="B57" s="293">
        <v>4544000</v>
      </c>
      <c r="C57" s="293">
        <v>622984</v>
      </c>
      <c r="D57" s="576"/>
      <c r="E57" s="386">
        <v>231750.048</v>
      </c>
      <c r="F57" s="386">
        <v>227389.16</v>
      </c>
      <c r="G57" s="576"/>
      <c r="H57" s="576"/>
      <c r="I57" s="576"/>
      <c r="J57" s="576"/>
      <c r="K57" s="576"/>
      <c r="L57" s="576"/>
      <c r="M57" s="576"/>
      <c r="N57" s="576"/>
      <c r="Q57" s="293">
        <v>4544000</v>
      </c>
      <c r="R57" s="293">
        <v>622984</v>
      </c>
      <c r="S57" s="576"/>
      <c r="T57" s="386">
        <v>231750.048</v>
      </c>
      <c r="U57" s="386">
        <v>227389.16</v>
      </c>
    </row>
    <row r="58" spans="1:21" ht="12.75">
      <c r="A58" s="291" t="s">
        <v>144</v>
      </c>
      <c r="B58" s="293">
        <v>9886000</v>
      </c>
      <c r="C58" s="293">
        <v>1284000</v>
      </c>
      <c r="D58" s="576"/>
      <c r="E58" s="386">
        <v>133536</v>
      </c>
      <c r="F58" s="386">
        <v>121980</v>
      </c>
      <c r="G58" s="576"/>
      <c r="H58" s="576"/>
      <c r="I58" s="576"/>
      <c r="J58" s="576"/>
      <c r="K58" s="576"/>
      <c r="L58" s="576"/>
      <c r="M58" s="576"/>
      <c r="N58" s="576"/>
      <c r="Q58" s="293">
        <v>9886000</v>
      </c>
      <c r="R58" s="293">
        <v>1284000</v>
      </c>
      <c r="S58" s="576"/>
      <c r="T58" s="386">
        <v>133536</v>
      </c>
      <c r="U58" s="386">
        <v>121980</v>
      </c>
    </row>
    <row r="59" spans="1:21" ht="12.75">
      <c r="A59" s="291" t="s">
        <v>29</v>
      </c>
      <c r="B59" s="293">
        <v>16304000</v>
      </c>
      <c r="C59" s="293">
        <v>756102</v>
      </c>
      <c r="D59" s="576"/>
      <c r="E59" s="386">
        <v>154244.808</v>
      </c>
      <c r="F59" s="386">
        <v>161805.828</v>
      </c>
      <c r="G59" s="576"/>
      <c r="H59" s="576"/>
      <c r="I59" s="576"/>
      <c r="J59" s="576"/>
      <c r="K59" s="576"/>
      <c r="L59" s="576"/>
      <c r="M59" s="576"/>
      <c r="N59" s="576"/>
      <c r="Q59" s="293">
        <v>16304000</v>
      </c>
      <c r="R59" s="293">
        <v>756102</v>
      </c>
      <c r="S59" s="576"/>
      <c r="T59" s="386">
        <v>154244.808</v>
      </c>
      <c r="U59" s="386">
        <v>161805.828</v>
      </c>
    </row>
    <row r="60" spans="1:21" ht="12.75">
      <c r="A60" s="291" t="s">
        <v>117</v>
      </c>
      <c r="B60" s="293">
        <v>1310584000</v>
      </c>
      <c r="C60" s="293">
        <v>9598094</v>
      </c>
      <c r="D60" s="576"/>
      <c r="E60" s="386">
        <v>1603841.5074000002</v>
      </c>
      <c r="F60" s="386">
        <v>1968569.0794000002</v>
      </c>
      <c r="G60" s="576"/>
      <c r="H60" s="576"/>
      <c r="I60" s="576"/>
      <c r="J60" s="576"/>
      <c r="K60" s="576"/>
      <c r="L60" s="576"/>
      <c r="M60" s="576"/>
      <c r="N60" s="576"/>
      <c r="Q60" s="293">
        <v>1310584000</v>
      </c>
      <c r="R60" s="293">
        <v>9598094</v>
      </c>
      <c r="S60" s="576"/>
      <c r="T60" s="386">
        <v>1603841.5074000002</v>
      </c>
      <c r="U60" s="386">
        <v>1968569.0794000002</v>
      </c>
    </row>
    <row r="61" spans="1:21" ht="12.75">
      <c r="A61" s="291" t="s">
        <v>189</v>
      </c>
      <c r="B61" s="293">
        <v>6980000</v>
      </c>
      <c r="C61" s="293">
        <v>1104</v>
      </c>
      <c r="D61" s="576"/>
      <c r="E61" s="387"/>
      <c r="F61" s="387"/>
      <c r="G61" s="576"/>
      <c r="H61" s="576">
        <v>6980000</v>
      </c>
      <c r="I61" s="576">
        <v>1104</v>
      </c>
      <c r="J61" s="576"/>
      <c r="K61" s="576"/>
      <c r="L61" s="576"/>
      <c r="M61" s="576"/>
      <c r="N61" s="576"/>
      <c r="Q61" s="293"/>
      <c r="R61" s="293"/>
      <c r="S61" s="576"/>
      <c r="T61" s="387"/>
      <c r="U61" s="387"/>
    </row>
    <row r="62" spans="1:21" ht="12.75">
      <c r="A62" s="291" t="s">
        <v>190</v>
      </c>
      <c r="B62" s="293">
        <v>526000</v>
      </c>
      <c r="C62" s="293">
        <v>26.8</v>
      </c>
      <c r="D62" s="576"/>
      <c r="E62" s="387"/>
      <c r="F62" s="387"/>
      <c r="G62" s="576"/>
      <c r="H62" s="576">
        <v>526000</v>
      </c>
      <c r="I62" s="576">
        <v>26.8</v>
      </c>
      <c r="J62" s="576"/>
      <c r="K62" s="576"/>
      <c r="L62" s="576"/>
      <c r="M62" s="576"/>
      <c r="N62" s="576"/>
      <c r="Q62" s="293"/>
      <c r="R62" s="293"/>
      <c r="S62" s="576"/>
      <c r="T62" s="387"/>
      <c r="U62" s="387"/>
    </row>
    <row r="63" spans="1:21" ht="12.75">
      <c r="A63" s="291" t="s">
        <v>25</v>
      </c>
      <c r="B63" s="293">
        <v>42597000</v>
      </c>
      <c r="C63" s="293">
        <v>1138914</v>
      </c>
      <c r="D63" s="576"/>
      <c r="E63" s="386">
        <v>641208.5819999999</v>
      </c>
      <c r="F63" s="386">
        <v>626402.7</v>
      </c>
      <c r="G63" s="576"/>
      <c r="H63" s="576"/>
      <c r="I63" s="576"/>
      <c r="J63" s="576"/>
      <c r="K63" s="576"/>
      <c r="L63" s="576"/>
      <c r="M63" s="576"/>
      <c r="N63" s="576"/>
      <c r="Q63" s="293">
        <v>42597000</v>
      </c>
      <c r="R63" s="293">
        <v>1138914</v>
      </c>
      <c r="S63" s="576"/>
      <c r="T63" s="386">
        <v>641208.5819999999</v>
      </c>
      <c r="U63" s="386">
        <v>626402.7</v>
      </c>
    </row>
    <row r="64" spans="1:21" ht="12.75">
      <c r="A64" s="291" t="s">
        <v>186</v>
      </c>
      <c r="B64" s="293">
        <v>711000</v>
      </c>
      <c r="C64" s="293">
        <v>2235</v>
      </c>
      <c r="D64" s="576"/>
      <c r="E64" s="386">
        <v>145.275</v>
      </c>
      <c r="F64" s="386">
        <v>60.345</v>
      </c>
      <c r="G64" s="576"/>
      <c r="H64" s="576"/>
      <c r="I64" s="576"/>
      <c r="J64" s="576"/>
      <c r="K64" s="576"/>
      <c r="L64" s="576"/>
      <c r="M64" s="576"/>
      <c r="N64" s="576"/>
      <c r="Q64" s="293">
        <v>711000</v>
      </c>
      <c r="R64" s="293">
        <v>2235</v>
      </c>
      <c r="S64" s="576"/>
      <c r="T64" s="386">
        <v>145.275</v>
      </c>
      <c r="U64" s="386">
        <v>60.345</v>
      </c>
    </row>
    <row r="65" spans="1:21" ht="12.75">
      <c r="A65" s="291" t="s">
        <v>267</v>
      </c>
      <c r="B65" s="293">
        <v>3802000</v>
      </c>
      <c r="C65" s="293">
        <v>342000</v>
      </c>
      <c r="D65" s="576"/>
      <c r="E65" s="386">
        <v>227430</v>
      </c>
      <c r="F65" s="386">
        <v>225036</v>
      </c>
      <c r="G65" s="576"/>
      <c r="H65" s="576"/>
      <c r="I65" s="576"/>
      <c r="J65" s="576"/>
      <c r="K65" s="576"/>
      <c r="L65" s="576"/>
      <c r="M65" s="576"/>
      <c r="N65" s="576"/>
      <c r="Q65" s="293">
        <v>3802000</v>
      </c>
      <c r="R65" s="293">
        <v>342000</v>
      </c>
      <c r="S65" s="576"/>
      <c r="T65" s="386">
        <v>227430</v>
      </c>
      <c r="U65" s="386">
        <v>225036</v>
      </c>
    </row>
    <row r="66" spans="1:21" ht="12.75">
      <c r="A66" s="291" t="s">
        <v>18</v>
      </c>
      <c r="B66" s="293">
        <v>4331000</v>
      </c>
      <c r="C66" s="293">
        <v>51100</v>
      </c>
      <c r="D66" s="576"/>
      <c r="E66" s="386">
        <v>25652.2</v>
      </c>
      <c r="F66" s="386">
        <v>24936.8</v>
      </c>
      <c r="G66" s="576"/>
      <c r="H66" s="576"/>
      <c r="I66" s="576"/>
      <c r="J66" s="576"/>
      <c r="K66" s="576"/>
      <c r="L66" s="576"/>
      <c r="M66" s="576"/>
      <c r="N66" s="576"/>
      <c r="Q66" s="293">
        <v>4331000</v>
      </c>
      <c r="R66" s="293">
        <v>51100</v>
      </c>
      <c r="S66" s="576"/>
      <c r="T66" s="386">
        <v>25652.2</v>
      </c>
      <c r="U66" s="386">
        <v>24936.8</v>
      </c>
    </row>
    <row r="67" spans="1:21" ht="12.75">
      <c r="A67" s="291" t="s">
        <v>102</v>
      </c>
      <c r="B67" s="293">
        <v>19747000</v>
      </c>
      <c r="C67" s="293">
        <v>322463</v>
      </c>
      <c r="D67" s="576"/>
      <c r="E67" s="386">
        <v>103510.623</v>
      </c>
      <c r="F67" s="386">
        <v>105445.40100000001</v>
      </c>
      <c r="G67" s="576"/>
      <c r="H67" s="576"/>
      <c r="I67" s="576"/>
      <c r="J67" s="576"/>
      <c r="K67" s="576"/>
      <c r="L67" s="576"/>
      <c r="M67" s="576"/>
      <c r="N67" s="576"/>
      <c r="Q67" s="293">
        <v>19747000</v>
      </c>
      <c r="R67" s="293">
        <v>322463</v>
      </c>
      <c r="S67" s="576"/>
      <c r="T67" s="386">
        <v>103510.623</v>
      </c>
      <c r="U67" s="386">
        <v>105445.40100000001</v>
      </c>
    </row>
    <row r="68" spans="1:21" ht="12.75">
      <c r="A68" s="291" t="s">
        <v>45</v>
      </c>
      <c r="B68" s="293">
        <v>4493000</v>
      </c>
      <c r="C68" s="293">
        <v>56594</v>
      </c>
      <c r="D68" s="576"/>
      <c r="E68" s="386">
        <v>18732.614</v>
      </c>
      <c r="F68" s="386">
        <v>19241.96</v>
      </c>
      <c r="G68" s="576"/>
      <c r="H68" s="576"/>
      <c r="I68" s="576"/>
      <c r="J68" s="576"/>
      <c r="K68" s="576"/>
      <c r="L68" s="576"/>
      <c r="M68" s="576"/>
      <c r="N68" s="576"/>
      <c r="Q68" s="293">
        <v>4493000</v>
      </c>
      <c r="R68" s="293">
        <v>56594</v>
      </c>
      <c r="S68" s="576"/>
      <c r="T68" s="386">
        <v>18732.614</v>
      </c>
      <c r="U68" s="386">
        <v>19241.96</v>
      </c>
    </row>
    <row r="69" spans="1:21" ht="12.75">
      <c r="A69" s="291" t="s">
        <v>24</v>
      </c>
      <c r="B69" s="293">
        <v>11394000</v>
      </c>
      <c r="C69" s="293">
        <v>109886</v>
      </c>
      <c r="D69" s="576"/>
      <c r="E69" s="386">
        <v>20548.681999999997</v>
      </c>
      <c r="F69" s="386">
        <v>27031.956</v>
      </c>
      <c r="G69" s="576"/>
      <c r="H69" s="576"/>
      <c r="I69" s="576"/>
      <c r="J69" s="576"/>
      <c r="K69" s="576"/>
      <c r="L69" s="576"/>
      <c r="M69" s="576"/>
      <c r="N69" s="576"/>
      <c r="Q69" s="293">
        <v>11394000</v>
      </c>
      <c r="R69" s="293">
        <v>109886</v>
      </c>
      <c r="S69" s="576"/>
      <c r="T69" s="386">
        <v>20548.681999999997</v>
      </c>
      <c r="U69" s="386">
        <v>27031.956</v>
      </c>
    </row>
    <row r="70" spans="1:21" ht="12.75">
      <c r="A70" s="291" t="s">
        <v>97</v>
      </c>
      <c r="B70" s="293">
        <v>1049000</v>
      </c>
      <c r="C70" s="293">
        <v>9251</v>
      </c>
      <c r="D70" s="576"/>
      <c r="E70" s="386">
        <v>1609.674</v>
      </c>
      <c r="F70" s="386">
        <v>1729.9370000000001</v>
      </c>
      <c r="G70" s="576"/>
      <c r="H70" s="576"/>
      <c r="I70" s="576"/>
      <c r="J70" s="576"/>
      <c r="K70" s="576"/>
      <c r="L70" s="576"/>
      <c r="M70" s="576"/>
      <c r="N70" s="576"/>
      <c r="Q70" s="293">
        <v>1049000</v>
      </c>
      <c r="R70" s="293">
        <v>9251</v>
      </c>
      <c r="S70" s="576"/>
      <c r="T70" s="386">
        <v>1609.674</v>
      </c>
      <c r="U70" s="386">
        <v>1729.9370000000001</v>
      </c>
    </row>
    <row r="71" spans="1:21" ht="12.75">
      <c r="A71" s="291" t="s">
        <v>34</v>
      </c>
      <c r="B71" s="293">
        <v>10229000</v>
      </c>
      <c r="C71" s="293">
        <v>78867</v>
      </c>
      <c r="D71" s="576"/>
      <c r="E71" s="386">
        <v>26814.78</v>
      </c>
      <c r="F71" s="386">
        <v>27051.380999999998</v>
      </c>
      <c r="G71" s="576"/>
      <c r="H71" s="576"/>
      <c r="I71" s="576"/>
      <c r="J71" s="576"/>
      <c r="K71" s="576"/>
      <c r="L71" s="576"/>
      <c r="M71" s="576"/>
      <c r="N71" s="576"/>
      <c r="Q71" s="293">
        <v>10229000</v>
      </c>
      <c r="R71" s="293">
        <v>78867</v>
      </c>
      <c r="S71" s="576"/>
      <c r="T71" s="386">
        <v>26814.78</v>
      </c>
      <c r="U71" s="386">
        <v>27051.380999999998</v>
      </c>
    </row>
    <row r="72" spans="1:21" ht="12.75">
      <c r="A72" s="291" t="s">
        <v>105</v>
      </c>
      <c r="B72" s="293">
        <v>64390000</v>
      </c>
      <c r="C72" s="293">
        <v>2344858</v>
      </c>
      <c r="D72" s="576"/>
      <c r="E72" s="386">
        <v>1657814.6060000001</v>
      </c>
      <c r="F72" s="386">
        <v>1610917.4460000002</v>
      </c>
      <c r="G72" s="576"/>
      <c r="H72" s="576"/>
      <c r="I72" s="576"/>
      <c r="J72" s="576"/>
      <c r="K72" s="576"/>
      <c r="L72" s="576"/>
      <c r="M72" s="576"/>
      <c r="N72" s="576"/>
      <c r="Q72" s="293">
        <v>64390000</v>
      </c>
      <c r="R72" s="293">
        <v>2344858</v>
      </c>
      <c r="S72" s="576"/>
      <c r="T72" s="386">
        <v>1657814.6060000001</v>
      </c>
      <c r="U72" s="386">
        <v>1610917.4460000002</v>
      </c>
    </row>
    <row r="73" spans="1:21" ht="12.75">
      <c r="A73" s="291" t="s">
        <v>42</v>
      </c>
      <c r="B73" s="293">
        <v>5468000</v>
      </c>
      <c r="C73" s="293">
        <v>43094</v>
      </c>
      <c r="D73" s="576"/>
      <c r="E73" s="386">
        <v>4524.87</v>
      </c>
      <c r="F73" s="386">
        <v>5429.844</v>
      </c>
      <c r="G73" s="576"/>
      <c r="H73" s="576"/>
      <c r="I73" s="576"/>
      <c r="J73" s="576"/>
      <c r="K73" s="576"/>
      <c r="L73" s="576"/>
      <c r="M73" s="576"/>
      <c r="N73" s="576"/>
      <c r="Q73" s="293">
        <v>5468000</v>
      </c>
      <c r="R73" s="293">
        <v>43094</v>
      </c>
      <c r="S73" s="576"/>
      <c r="T73" s="386">
        <v>4524.87</v>
      </c>
      <c r="U73" s="386">
        <v>5429.844</v>
      </c>
    </row>
    <row r="74" spans="1:21" ht="12.75">
      <c r="A74" s="291" t="s">
        <v>79</v>
      </c>
      <c r="B74" s="293">
        <v>694000</v>
      </c>
      <c r="C74" s="293">
        <v>23200</v>
      </c>
      <c r="D74" s="576"/>
      <c r="E74" s="386">
        <v>69.6</v>
      </c>
      <c r="F74" s="386">
        <v>69.6</v>
      </c>
      <c r="G74" s="576"/>
      <c r="H74" s="576"/>
      <c r="I74" s="576"/>
      <c r="J74" s="576"/>
      <c r="K74" s="576"/>
      <c r="L74" s="576"/>
      <c r="M74" s="576"/>
      <c r="N74" s="576"/>
      <c r="Q74" s="293">
        <v>694000</v>
      </c>
      <c r="R74" s="293">
        <v>23200</v>
      </c>
      <c r="S74" s="576"/>
      <c r="T74" s="386">
        <v>69.6</v>
      </c>
      <c r="U74" s="386">
        <v>69.6</v>
      </c>
    </row>
    <row r="75" spans="1:21" ht="12.75">
      <c r="A75" s="291" t="s">
        <v>177</v>
      </c>
      <c r="B75" s="293">
        <v>72000</v>
      </c>
      <c r="C75" s="293">
        <v>751</v>
      </c>
      <c r="D75" s="576"/>
      <c r="E75" s="386">
        <v>500.91700000000003</v>
      </c>
      <c r="F75" s="386">
        <v>460.36299999999994</v>
      </c>
      <c r="G75" s="576"/>
      <c r="H75" s="576"/>
      <c r="I75" s="576"/>
      <c r="J75" s="576"/>
      <c r="K75" s="576"/>
      <c r="L75" s="576"/>
      <c r="M75" s="576"/>
      <c r="N75" s="576"/>
      <c r="Q75" s="293">
        <v>72000</v>
      </c>
      <c r="R75" s="293">
        <v>751</v>
      </c>
      <c r="S75" s="576"/>
      <c r="T75" s="386">
        <v>500.91700000000003</v>
      </c>
      <c r="U75" s="386">
        <v>460.36299999999994</v>
      </c>
    </row>
    <row r="76" spans="1:21" ht="12.75">
      <c r="A76" s="291" t="s">
        <v>46</v>
      </c>
      <c r="B76" s="293">
        <v>9426000</v>
      </c>
      <c r="C76" s="293">
        <v>48310</v>
      </c>
      <c r="D76" s="576"/>
      <c r="E76" s="386">
        <v>19710.48</v>
      </c>
      <c r="F76" s="386">
        <v>19710.48</v>
      </c>
      <c r="G76" s="576"/>
      <c r="H76" s="576"/>
      <c r="I76" s="576"/>
      <c r="J76" s="576"/>
      <c r="K76" s="576"/>
      <c r="L76" s="576"/>
      <c r="M76" s="576"/>
      <c r="N76" s="576"/>
      <c r="Q76" s="293">
        <v>9426000</v>
      </c>
      <c r="R76" s="293">
        <v>48310</v>
      </c>
      <c r="S76" s="576"/>
      <c r="T76" s="386">
        <v>19710.48</v>
      </c>
      <c r="U76" s="386">
        <v>19710.48</v>
      </c>
    </row>
    <row r="77" spans="1:21" ht="12.75">
      <c r="A77" s="291" t="s">
        <v>40</v>
      </c>
      <c r="B77" s="293">
        <v>14135000</v>
      </c>
      <c r="C77" s="293">
        <v>283561</v>
      </c>
      <c r="D77" s="576"/>
      <c r="E77" s="386">
        <v>141496.939</v>
      </c>
      <c r="F77" s="386">
        <v>111155.91200000001</v>
      </c>
      <c r="G77" s="576"/>
      <c r="H77" s="576"/>
      <c r="I77" s="576"/>
      <c r="J77" s="576"/>
      <c r="K77" s="576"/>
      <c r="L77" s="576"/>
      <c r="M77" s="576"/>
      <c r="N77" s="576"/>
      <c r="Q77" s="293">
        <v>14135000</v>
      </c>
      <c r="R77" s="293">
        <v>283561</v>
      </c>
      <c r="S77" s="576"/>
      <c r="T77" s="386">
        <v>141496.939</v>
      </c>
      <c r="U77" s="386">
        <v>111155.91200000001</v>
      </c>
    </row>
    <row r="78" spans="1:21" ht="12.75">
      <c r="A78" s="291" t="s">
        <v>73</v>
      </c>
      <c r="B78" s="293">
        <v>75677000</v>
      </c>
      <c r="C78" s="293">
        <v>1002000</v>
      </c>
      <c r="D78" s="576"/>
      <c r="E78" s="386">
        <v>0</v>
      </c>
      <c r="F78" s="386">
        <v>1002</v>
      </c>
      <c r="G78" s="576"/>
      <c r="H78" s="576"/>
      <c r="I78" s="576"/>
      <c r="J78" s="576"/>
      <c r="K78" s="576"/>
      <c r="L78" s="576"/>
      <c r="M78" s="576"/>
      <c r="N78" s="576"/>
      <c r="Q78" s="293">
        <v>75677000</v>
      </c>
      <c r="R78" s="293">
        <v>1002000</v>
      </c>
      <c r="S78" s="576"/>
      <c r="T78" s="386">
        <v>0</v>
      </c>
      <c r="U78" s="386">
        <v>1002</v>
      </c>
    </row>
    <row r="79" spans="1:21" ht="12.75">
      <c r="A79" s="291" t="s">
        <v>44</v>
      </c>
      <c r="B79" s="293">
        <v>5982000</v>
      </c>
      <c r="C79" s="293">
        <v>21041</v>
      </c>
      <c r="D79" s="576"/>
      <c r="E79" s="386">
        <v>3829.462</v>
      </c>
      <c r="F79" s="386">
        <v>3135.109</v>
      </c>
      <c r="G79" s="576"/>
      <c r="H79" s="576"/>
      <c r="I79" s="576"/>
      <c r="J79" s="576"/>
      <c r="K79" s="576"/>
      <c r="L79" s="576"/>
      <c r="M79" s="576"/>
      <c r="N79" s="576"/>
      <c r="Q79" s="293">
        <v>5982000</v>
      </c>
      <c r="R79" s="293">
        <v>21041</v>
      </c>
      <c r="S79" s="576"/>
      <c r="T79" s="386">
        <v>3829.462</v>
      </c>
      <c r="U79" s="386">
        <v>3135.109</v>
      </c>
    </row>
    <row r="80" spans="1:21" ht="12.75">
      <c r="A80" s="291" t="s">
        <v>139</v>
      </c>
      <c r="B80" s="293">
        <v>600000</v>
      </c>
      <c r="C80" s="293">
        <v>28051</v>
      </c>
      <c r="D80" s="576"/>
      <c r="E80" s="386">
        <v>18597.813</v>
      </c>
      <c r="F80" s="386">
        <v>16858.651</v>
      </c>
      <c r="G80" s="576"/>
      <c r="H80" s="576"/>
      <c r="I80" s="576"/>
      <c r="J80" s="576"/>
      <c r="K80" s="576"/>
      <c r="L80" s="576"/>
      <c r="M80" s="576"/>
      <c r="N80" s="576"/>
      <c r="Q80" s="293">
        <v>600000</v>
      </c>
      <c r="R80" s="293">
        <v>28051</v>
      </c>
      <c r="S80" s="576"/>
      <c r="T80" s="386">
        <v>18597.813</v>
      </c>
      <c r="U80" s="386">
        <v>16858.651</v>
      </c>
    </row>
    <row r="81" spans="1:21" ht="12.75">
      <c r="A81" s="291" t="s">
        <v>100</v>
      </c>
      <c r="B81" s="293">
        <v>5358000</v>
      </c>
      <c r="C81" s="293">
        <v>117600</v>
      </c>
      <c r="D81" s="576"/>
      <c r="E81" s="386">
        <v>18816</v>
      </c>
      <c r="F81" s="386">
        <v>18110.4</v>
      </c>
      <c r="G81" s="576"/>
      <c r="H81" s="576"/>
      <c r="I81" s="576"/>
      <c r="J81" s="576"/>
      <c r="K81" s="576"/>
      <c r="L81" s="576"/>
      <c r="M81" s="576"/>
      <c r="N81" s="576"/>
      <c r="Q81" s="293">
        <v>5358000</v>
      </c>
      <c r="R81" s="293">
        <v>117600</v>
      </c>
      <c r="S81" s="576"/>
      <c r="T81" s="386">
        <v>18816</v>
      </c>
      <c r="U81" s="386">
        <v>18110.4</v>
      </c>
    </row>
    <row r="82" spans="1:21" ht="12.75">
      <c r="A82" s="291" t="s">
        <v>64</v>
      </c>
      <c r="B82" s="293">
        <v>1316000</v>
      </c>
      <c r="C82" s="293">
        <v>45228</v>
      </c>
      <c r="D82" s="576"/>
      <c r="E82" s="386">
        <v>22297.404</v>
      </c>
      <c r="F82" s="386">
        <v>24016.068</v>
      </c>
      <c r="G82" s="576"/>
      <c r="H82" s="576"/>
      <c r="I82" s="576"/>
      <c r="J82" s="576"/>
      <c r="K82" s="576"/>
      <c r="L82" s="576"/>
      <c r="M82" s="576"/>
      <c r="N82" s="576"/>
      <c r="Q82" s="293">
        <v>1316000</v>
      </c>
      <c r="R82" s="293">
        <v>45228</v>
      </c>
      <c r="S82" s="576"/>
      <c r="T82" s="386">
        <v>22297.404</v>
      </c>
      <c r="U82" s="386">
        <v>24016.068</v>
      </c>
    </row>
    <row r="83" spans="1:21" ht="12.75">
      <c r="A83" s="291" t="s">
        <v>135</v>
      </c>
      <c r="B83" s="293">
        <v>79936000</v>
      </c>
      <c r="C83" s="293">
        <v>1104300</v>
      </c>
      <c r="D83" s="576"/>
      <c r="E83" s="386">
        <v>152393.4</v>
      </c>
      <c r="F83" s="386">
        <v>131411.7</v>
      </c>
      <c r="G83" s="576"/>
      <c r="H83" s="576"/>
      <c r="I83" s="576"/>
      <c r="J83" s="576"/>
      <c r="K83" s="576"/>
      <c r="L83" s="576"/>
      <c r="M83" s="576"/>
      <c r="N83" s="576"/>
      <c r="Q83" s="293">
        <v>79936000</v>
      </c>
      <c r="R83" s="293">
        <v>1104300</v>
      </c>
      <c r="S83" s="576"/>
      <c r="T83" s="386">
        <v>152393.4</v>
      </c>
      <c r="U83" s="386">
        <v>131411.7</v>
      </c>
    </row>
    <row r="84" spans="1:21" ht="12.75">
      <c r="A84" s="291" t="s">
        <v>161</v>
      </c>
      <c r="B84" s="293">
        <v>48000</v>
      </c>
      <c r="C84" s="293">
        <v>1393</v>
      </c>
      <c r="D84" s="576"/>
      <c r="E84" s="386">
        <v>0</v>
      </c>
      <c r="F84" s="386">
        <v>0</v>
      </c>
      <c r="G84" s="576"/>
      <c r="H84" s="576"/>
      <c r="I84" s="576"/>
      <c r="J84" s="576"/>
      <c r="K84" s="576"/>
      <c r="L84" s="576"/>
      <c r="M84" s="576"/>
      <c r="N84" s="576"/>
      <c r="Q84" s="293">
        <v>48000</v>
      </c>
      <c r="R84" s="293">
        <v>1393</v>
      </c>
      <c r="S84" s="576"/>
      <c r="T84" s="386">
        <v>0</v>
      </c>
      <c r="U84" s="386">
        <v>0</v>
      </c>
    </row>
    <row r="85" spans="1:21" ht="12.75">
      <c r="A85" s="291" t="s">
        <v>57</v>
      </c>
      <c r="B85" s="293">
        <v>852000</v>
      </c>
      <c r="C85" s="293">
        <v>18274</v>
      </c>
      <c r="D85" s="576"/>
      <c r="E85" s="386">
        <v>9539.028</v>
      </c>
      <c r="F85" s="386">
        <v>9977.604000000001</v>
      </c>
      <c r="G85" s="576"/>
      <c r="H85" s="576"/>
      <c r="I85" s="576"/>
      <c r="J85" s="576"/>
      <c r="K85" s="576"/>
      <c r="L85" s="576"/>
      <c r="M85" s="576"/>
      <c r="N85" s="576"/>
      <c r="Q85" s="293">
        <v>852000</v>
      </c>
      <c r="R85" s="293">
        <v>18274</v>
      </c>
      <c r="S85" s="576"/>
      <c r="T85" s="386">
        <v>9539.028</v>
      </c>
      <c r="U85" s="386">
        <v>9977.604000000001</v>
      </c>
    </row>
    <row r="86" spans="1:21" ht="12.75">
      <c r="A86" s="291" t="s">
        <v>3</v>
      </c>
      <c r="B86" s="293">
        <v>5238000</v>
      </c>
      <c r="C86" s="293">
        <v>338145</v>
      </c>
      <c r="D86" s="576"/>
      <c r="E86" s="386">
        <v>243565.8435</v>
      </c>
      <c r="F86" s="386">
        <v>246609.1485</v>
      </c>
      <c r="G86" s="576"/>
      <c r="H86" s="576"/>
      <c r="I86" s="576"/>
      <c r="J86" s="576"/>
      <c r="K86" s="576"/>
      <c r="L86" s="576"/>
      <c r="M86" s="576"/>
      <c r="N86" s="576"/>
      <c r="Q86" s="293">
        <v>5238000</v>
      </c>
      <c r="R86" s="293">
        <v>338145</v>
      </c>
      <c r="S86" s="576"/>
      <c r="T86" s="386">
        <v>243565.8435</v>
      </c>
      <c r="U86" s="386">
        <v>246609.1485</v>
      </c>
    </row>
    <row r="87" spans="1:21" ht="12.75">
      <c r="A87" s="291" t="s">
        <v>22</v>
      </c>
      <c r="B87" s="293">
        <v>62226000</v>
      </c>
      <c r="C87" s="293">
        <v>551500</v>
      </c>
      <c r="D87" s="576"/>
      <c r="E87" s="386">
        <v>145596</v>
      </c>
      <c r="F87" s="386">
        <v>157729</v>
      </c>
      <c r="G87" s="576"/>
      <c r="H87" s="576"/>
      <c r="I87" s="576"/>
      <c r="J87" s="576"/>
      <c r="K87" s="576"/>
      <c r="L87" s="576"/>
      <c r="M87" s="576"/>
      <c r="N87" s="576"/>
      <c r="Q87" s="293">
        <v>62226000</v>
      </c>
      <c r="R87" s="293">
        <v>551500</v>
      </c>
      <c r="S87" s="576"/>
      <c r="T87" s="386">
        <v>145596</v>
      </c>
      <c r="U87" s="386">
        <v>157729</v>
      </c>
    </row>
    <row r="88" spans="1:21" ht="12.75">
      <c r="A88" s="291" t="s">
        <v>171</v>
      </c>
      <c r="B88" s="293">
        <v>191000</v>
      </c>
      <c r="C88" s="293">
        <v>90000</v>
      </c>
      <c r="D88" s="576"/>
      <c r="E88" s="386">
        <v>89298</v>
      </c>
      <c r="F88" s="386">
        <v>88668</v>
      </c>
      <c r="G88" s="576"/>
      <c r="H88" s="576"/>
      <c r="I88" s="576"/>
      <c r="J88" s="576"/>
      <c r="K88" s="576"/>
      <c r="L88" s="576"/>
      <c r="M88" s="576"/>
      <c r="N88" s="576"/>
      <c r="Q88" s="293">
        <v>191000</v>
      </c>
      <c r="R88" s="293">
        <v>90000</v>
      </c>
      <c r="S88" s="576"/>
      <c r="T88" s="386">
        <v>89298</v>
      </c>
      <c r="U88" s="386">
        <v>88668</v>
      </c>
    </row>
    <row r="89" spans="1:21" ht="12.75">
      <c r="A89" s="291" t="s">
        <v>173</v>
      </c>
      <c r="B89" s="293">
        <v>279000</v>
      </c>
      <c r="C89" s="293">
        <v>4167</v>
      </c>
      <c r="D89" s="576"/>
      <c r="E89" s="386">
        <v>625.05</v>
      </c>
      <c r="F89" s="386">
        <v>1479.285</v>
      </c>
      <c r="G89" s="576"/>
      <c r="H89" s="576"/>
      <c r="I89" s="576"/>
      <c r="J89" s="576"/>
      <c r="K89" s="576"/>
      <c r="L89" s="576"/>
      <c r="M89" s="576"/>
      <c r="N89" s="576"/>
      <c r="Q89" s="293">
        <v>279000</v>
      </c>
      <c r="R89" s="293">
        <v>4167</v>
      </c>
      <c r="S89" s="576"/>
      <c r="T89" s="386">
        <v>625.05</v>
      </c>
      <c r="U89" s="386">
        <v>1479.285</v>
      </c>
    </row>
    <row r="90" spans="1:21" ht="12.75">
      <c r="A90" s="291" t="s">
        <v>96</v>
      </c>
      <c r="B90" s="293">
        <v>1456000</v>
      </c>
      <c r="C90" s="293">
        <v>267668</v>
      </c>
      <c r="D90" s="576"/>
      <c r="E90" s="386">
        <v>228588.472</v>
      </c>
      <c r="F90" s="386">
        <v>228588.472</v>
      </c>
      <c r="G90" s="576"/>
      <c r="H90" s="576"/>
      <c r="I90" s="576"/>
      <c r="J90" s="576"/>
      <c r="K90" s="576"/>
      <c r="L90" s="576"/>
      <c r="M90" s="576"/>
      <c r="N90" s="576"/>
      <c r="Q90" s="293">
        <v>1456000</v>
      </c>
      <c r="R90" s="293">
        <v>267668</v>
      </c>
      <c r="S90" s="576"/>
      <c r="T90" s="386">
        <v>228588.472</v>
      </c>
      <c r="U90" s="386">
        <v>228588.472</v>
      </c>
    </row>
    <row r="91" spans="1:21" ht="12.75">
      <c r="A91" s="291" t="s">
        <v>113</v>
      </c>
      <c r="B91" s="293">
        <v>1686000</v>
      </c>
      <c r="C91" s="293">
        <v>11295</v>
      </c>
      <c r="D91" s="576"/>
      <c r="E91" s="386">
        <v>4992.39</v>
      </c>
      <c r="F91" s="386">
        <v>5319.945000000001</v>
      </c>
      <c r="G91" s="576"/>
      <c r="H91" s="576"/>
      <c r="I91" s="576"/>
      <c r="J91" s="576"/>
      <c r="K91" s="576"/>
      <c r="L91" s="576"/>
      <c r="M91" s="576"/>
      <c r="N91" s="576"/>
      <c r="Q91" s="293">
        <v>1686000</v>
      </c>
      <c r="R91" s="293">
        <v>11295</v>
      </c>
      <c r="S91" s="576"/>
      <c r="T91" s="386">
        <v>4992.39</v>
      </c>
      <c r="U91" s="386">
        <v>5319.945000000001</v>
      </c>
    </row>
    <row r="92" spans="1:21" ht="12.75">
      <c r="A92" s="291" t="s">
        <v>66</v>
      </c>
      <c r="B92" s="293">
        <v>4646000</v>
      </c>
      <c r="C92" s="293">
        <v>69700</v>
      </c>
      <c r="D92" s="576"/>
      <c r="E92" s="386">
        <v>27880</v>
      </c>
      <c r="F92" s="386">
        <v>27601.2</v>
      </c>
      <c r="G92" s="576"/>
      <c r="H92" s="576"/>
      <c r="I92" s="576"/>
      <c r="J92" s="576"/>
      <c r="K92" s="576"/>
      <c r="L92" s="576"/>
      <c r="M92" s="576"/>
      <c r="N92" s="576"/>
      <c r="Q92" s="293">
        <v>4646000</v>
      </c>
      <c r="R92" s="293">
        <v>69700</v>
      </c>
      <c r="S92" s="576"/>
      <c r="T92" s="386">
        <v>27880</v>
      </c>
      <c r="U92" s="386">
        <v>27601.2</v>
      </c>
    </row>
    <row r="93" spans="1:21" ht="12.75">
      <c r="A93" s="291" t="s">
        <v>30</v>
      </c>
      <c r="B93" s="293">
        <v>82401000</v>
      </c>
      <c r="C93" s="293">
        <v>357022</v>
      </c>
      <c r="D93" s="576"/>
      <c r="E93" s="386">
        <v>109962.776</v>
      </c>
      <c r="F93" s="386">
        <v>113532.996</v>
      </c>
      <c r="G93" s="576"/>
      <c r="H93" s="576"/>
      <c r="I93" s="576"/>
      <c r="J93" s="576"/>
      <c r="K93" s="576"/>
      <c r="L93" s="576"/>
      <c r="M93" s="576"/>
      <c r="N93" s="576"/>
      <c r="Q93" s="293">
        <v>82401000</v>
      </c>
      <c r="R93" s="293">
        <v>357022</v>
      </c>
      <c r="S93" s="576"/>
      <c r="T93" s="386">
        <v>109962.776</v>
      </c>
      <c r="U93" s="386">
        <v>113532.996</v>
      </c>
    </row>
    <row r="94" spans="1:21" ht="12.75">
      <c r="A94" s="291" t="s">
        <v>108</v>
      </c>
      <c r="B94" s="293">
        <v>22981000</v>
      </c>
      <c r="C94" s="293">
        <v>238533</v>
      </c>
      <c r="D94" s="576"/>
      <c r="E94" s="386">
        <v>78000.291</v>
      </c>
      <c r="F94" s="386">
        <v>57724.986</v>
      </c>
      <c r="G94" s="576"/>
      <c r="H94" s="576"/>
      <c r="I94" s="576"/>
      <c r="J94" s="576"/>
      <c r="K94" s="576"/>
      <c r="L94" s="576"/>
      <c r="M94" s="576"/>
      <c r="N94" s="576"/>
      <c r="Q94" s="293">
        <v>22981000</v>
      </c>
      <c r="R94" s="293">
        <v>238533</v>
      </c>
      <c r="S94" s="576"/>
      <c r="T94" s="386">
        <v>78000.291</v>
      </c>
      <c r="U94" s="386">
        <v>57724.986</v>
      </c>
    </row>
    <row r="95" spans="1:21" ht="12.75">
      <c r="A95" s="291" t="s">
        <v>76</v>
      </c>
      <c r="B95" s="293">
        <v>10706000</v>
      </c>
      <c r="C95" s="293">
        <v>131957</v>
      </c>
      <c r="D95" s="576"/>
      <c r="E95" s="386">
        <v>33780.992</v>
      </c>
      <c r="F95" s="386">
        <v>38399.487</v>
      </c>
      <c r="G95" s="576"/>
      <c r="H95" s="576"/>
      <c r="I95" s="576"/>
      <c r="J95" s="576"/>
      <c r="K95" s="576"/>
      <c r="L95" s="576"/>
      <c r="M95" s="576"/>
      <c r="N95" s="576"/>
      <c r="Q95" s="293">
        <v>10706000</v>
      </c>
      <c r="R95" s="293">
        <v>131957</v>
      </c>
      <c r="S95" s="576"/>
      <c r="T95" s="386">
        <v>33780.992</v>
      </c>
      <c r="U95" s="386">
        <v>38399.487</v>
      </c>
    </row>
    <row r="96" spans="1:21" ht="12.75">
      <c r="A96" s="291" t="s">
        <v>164</v>
      </c>
      <c r="B96" s="293">
        <v>58000</v>
      </c>
      <c r="C96" s="293">
        <v>2166086</v>
      </c>
      <c r="D96" s="576"/>
      <c r="E96" s="386">
        <v>0</v>
      </c>
      <c r="F96" s="386">
        <v>0</v>
      </c>
      <c r="G96" s="576"/>
      <c r="H96" s="576"/>
      <c r="I96" s="576"/>
      <c r="J96" s="576"/>
      <c r="K96" s="576"/>
      <c r="L96" s="576"/>
      <c r="M96" s="576"/>
      <c r="N96" s="576"/>
      <c r="Q96" s="293">
        <v>58000</v>
      </c>
      <c r="R96" s="293">
        <v>2166086</v>
      </c>
      <c r="S96" s="576"/>
      <c r="T96" s="386">
        <v>0</v>
      </c>
      <c r="U96" s="386">
        <v>0</v>
      </c>
    </row>
    <row r="97" spans="1:21" ht="12.75">
      <c r="A97" s="291" t="s">
        <v>176</v>
      </c>
      <c r="B97" s="293">
        <v>106000</v>
      </c>
      <c r="C97" s="293">
        <v>344</v>
      </c>
      <c r="D97" s="576"/>
      <c r="E97" s="386">
        <v>172</v>
      </c>
      <c r="F97" s="386">
        <v>172</v>
      </c>
      <c r="G97" s="576"/>
      <c r="H97" s="576"/>
      <c r="I97" s="576"/>
      <c r="J97" s="576"/>
      <c r="K97" s="576"/>
      <c r="L97" s="576"/>
      <c r="M97" s="576"/>
      <c r="N97" s="576"/>
      <c r="Q97" s="293">
        <v>106000</v>
      </c>
      <c r="R97" s="293">
        <v>344</v>
      </c>
      <c r="S97" s="576"/>
      <c r="T97" s="386">
        <v>172</v>
      </c>
      <c r="U97" s="386">
        <v>172</v>
      </c>
    </row>
    <row r="98" spans="1:21" ht="12.75">
      <c r="A98" s="291" t="s">
        <v>168</v>
      </c>
      <c r="B98" s="293">
        <v>445000</v>
      </c>
      <c r="C98" s="293">
        <v>1710</v>
      </c>
      <c r="D98" s="576"/>
      <c r="E98" s="386">
        <v>716.49</v>
      </c>
      <c r="F98" s="386">
        <v>684</v>
      </c>
      <c r="G98" s="576"/>
      <c r="H98" s="576"/>
      <c r="I98" s="576"/>
      <c r="J98" s="576"/>
      <c r="K98" s="576"/>
      <c r="L98" s="576"/>
      <c r="M98" s="576"/>
      <c r="N98" s="576"/>
      <c r="Q98" s="293">
        <v>445000</v>
      </c>
      <c r="R98" s="293">
        <v>1710</v>
      </c>
      <c r="S98" s="576"/>
      <c r="T98" s="386">
        <v>716.49</v>
      </c>
      <c r="U98" s="386">
        <v>684</v>
      </c>
    </row>
    <row r="99" spans="1:21" ht="12.75">
      <c r="A99" s="291" t="s">
        <v>104</v>
      </c>
      <c r="B99" s="293">
        <v>12728000</v>
      </c>
      <c r="C99" s="293">
        <v>108889</v>
      </c>
      <c r="D99" s="576"/>
      <c r="E99" s="386">
        <v>47693.382</v>
      </c>
      <c r="F99" s="386">
        <v>39526.707</v>
      </c>
      <c r="G99" s="576"/>
      <c r="H99" s="576"/>
      <c r="I99" s="576"/>
      <c r="J99" s="576"/>
      <c r="K99" s="576"/>
      <c r="L99" s="576"/>
      <c r="M99" s="576"/>
      <c r="N99" s="576"/>
      <c r="Q99" s="293">
        <v>12728000</v>
      </c>
      <c r="R99" s="293">
        <v>108889</v>
      </c>
      <c r="S99" s="576"/>
      <c r="T99" s="386">
        <v>47693.382</v>
      </c>
      <c r="U99" s="386">
        <v>39526.707</v>
      </c>
    </row>
    <row r="100" spans="1:21" ht="12.75">
      <c r="A100" s="291" t="s">
        <v>130</v>
      </c>
      <c r="B100" s="293">
        <v>9569000</v>
      </c>
      <c r="C100" s="293">
        <v>245857</v>
      </c>
      <c r="D100" s="576"/>
      <c r="E100" s="386">
        <v>72773.672</v>
      </c>
      <c r="F100" s="386">
        <v>67364.818</v>
      </c>
      <c r="G100" s="576"/>
      <c r="H100" s="576"/>
      <c r="I100" s="576"/>
      <c r="J100" s="576"/>
      <c r="K100" s="576"/>
      <c r="L100" s="576"/>
      <c r="M100" s="576"/>
      <c r="N100" s="576"/>
      <c r="Q100" s="293">
        <v>9569000</v>
      </c>
      <c r="R100" s="293">
        <v>245857</v>
      </c>
      <c r="S100" s="576"/>
      <c r="T100" s="386">
        <v>72773.672</v>
      </c>
      <c r="U100" s="386">
        <v>67364.818</v>
      </c>
    </row>
    <row r="101" spans="1:21" ht="12.75">
      <c r="A101" s="291" t="s">
        <v>126</v>
      </c>
      <c r="B101" s="293">
        <v>1473000</v>
      </c>
      <c r="C101" s="293">
        <v>36125</v>
      </c>
      <c r="D101" s="576"/>
      <c r="E101" s="386">
        <v>28466.5</v>
      </c>
      <c r="F101" s="386">
        <v>26624.125</v>
      </c>
      <c r="G101" s="576"/>
      <c r="H101" s="576"/>
      <c r="I101" s="576"/>
      <c r="J101" s="576"/>
      <c r="K101" s="576"/>
      <c r="L101" s="576"/>
      <c r="M101" s="576"/>
      <c r="N101" s="576"/>
      <c r="Q101" s="293">
        <v>1473000</v>
      </c>
      <c r="R101" s="293">
        <v>36125</v>
      </c>
      <c r="S101" s="576"/>
      <c r="T101" s="386">
        <v>28466.5</v>
      </c>
      <c r="U101" s="386">
        <v>26624.125</v>
      </c>
    </row>
    <row r="102" spans="1:21" ht="12.75">
      <c r="A102" s="291" t="s">
        <v>85</v>
      </c>
      <c r="B102" s="293">
        <v>764000</v>
      </c>
      <c r="C102" s="293">
        <v>214969</v>
      </c>
      <c r="D102" s="576"/>
      <c r="E102" s="386">
        <v>165956.068</v>
      </c>
      <c r="F102" s="386">
        <v>165956.068</v>
      </c>
      <c r="G102" s="576"/>
      <c r="H102" s="576"/>
      <c r="I102" s="576"/>
      <c r="J102" s="576"/>
      <c r="K102" s="576"/>
      <c r="L102" s="576"/>
      <c r="M102" s="576"/>
      <c r="N102" s="576"/>
      <c r="Q102" s="293">
        <v>764000</v>
      </c>
      <c r="R102" s="293">
        <v>214969</v>
      </c>
      <c r="S102" s="576"/>
      <c r="T102" s="386">
        <v>165956.068</v>
      </c>
      <c r="U102" s="386">
        <v>165956.068</v>
      </c>
    </row>
    <row r="103" spans="1:21" ht="12.75">
      <c r="A103" s="291" t="s">
        <v>148</v>
      </c>
      <c r="B103" s="293">
        <v>9500000</v>
      </c>
      <c r="C103" s="293">
        <v>27750</v>
      </c>
      <c r="D103" s="576"/>
      <c r="E103" s="386">
        <v>1165.5</v>
      </c>
      <c r="F103" s="386">
        <v>1054.5</v>
      </c>
      <c r="G103" s="576"/>
      <c r="H103" s="576"/>
      <c r="I103" s="576"/>
      <c r="J103" s="576"/>
      <c r="K103" s="576"/>
      <c r="L103" s="576"/>
      <c r="M103" s="576"/>
      <c r="N103" s="576"/>
      <c r="Q103" s="293">
        <v>9500000</v>
      </c>
      <c r="R103" s="293">
        <v>27750</v>
      </c>
      <c r="S103" s="576"/>
      <c r="T103" s="386">
        <v>1165.5</v>
      </c>
      <c r="U103" s="386">
        <v>1054.5</v>
      </c>
    </row>
    <row r="104" spans="1:21" ht="12.75">
      <c r="A104" s="291" t="s">
        <v>114</v>
      </c>
      <c r="B104" s="293">
        <v>7516000</v>
      </c>
      <c r="C104" s="293">
        <v>112492</v>
      </c>
      <c r="D104" s="576"/>
      <c r="E104" s="386">
        <v>81781.68400000001</v>
      </c>
      <c r="F104" s="386">
        <v>58270.856</v>
      </c>
      <c r="G104" s="576"/>
      <c r="H104" s="576"/>
      <c r="I104" s="576"/>
      <c r="J104" s="576"/>
      <c r="K104" s="576"/>
      <c r="L104" s="576"/>
      <c r="M104" s="576"/>
      <c r="N104" s="576"/>
      <c r="Q104" s="293">
        <v>7516000</v>
      </c>
      <c r="R104" s="293">
        <v>112492</v>
      </c>
      <c r="S104" s="576"/>
      <c r="T104" s="386">
        <v>81781.68400000001</v>
      </c>
      <c r="U104" s="386">
        <v>58270.856</v>
      </c>
    </row>
    <row r="105" spans="1:21" ht="12.75">
      <c r="A105" s="291" t="s">
        <v>43</v>
      </c>
      <c r="B105" s="293">
        <v>10034000</v>
      </c>
      <c r="C105" s="293">
        <v>93028</v>
      </c>
      <c r="D105" s="576"/>
      <c r="E105" s="386">
        <v>18642.8112</v>
      </c>
      <c r="F105" s="386">
        <v>20596.3992</v>
      </c>
      <c r="G105" s="576"/>
      <c r="H105" s="576"/>
      <c r="I105" s="576"/>
      <c r="J105" s="576"/>
      <c r="K105" s="576"/>
      <c r="L105" s="576"/>
      <c r="M105" s="576"/>
      <c r="N105" s="576"/>
      <c r="Q105" s="293">
        <v>10034000</v>
      </c>
      <c r="R105" s="293">
        <v>93028</v>
      </c>
      <c r="S105" s="576"/>
      <c r="T105" s="386">
        <v>18642.8112</v>
      </c>
      <c r="U105" s="386">
        <v>20596.3992</v>
      </c>
    </row>
    <row r="106" spans="1:21" ht="12.75">
      <c r="A106" s="291" t="s">
        <v>16</v>
      </c>
      <c r="B106" s="293">
        <v>302000</v>
      </c>
      <c r="C106" s="293">
        <v>103000</v>
      </c>
      <c r="D106" s="576"/>
      <c r="E106" s="386">
        <v>103</v>
      </c>
      <c r="F106" s="386">
        <v>206</v>
      </c>
      <c r="G106" s="576"/>
      <c r="H106" s="576"/>
      <c r="I106" s="576"/>
      <c r="J106" s="576"/>
      <c r="K106" s="576"/>
      <c r="L106" s="576"/>
      <c r="M106" s="576"/>
      <c r="N106" s="576"/>
      <c r="Q106" s="293">
        <v>302000</v>
      </c>
      <c r="R106" s="293">
        <v>103000</v>
      </c>
      <c r="S106" s="576"/>
      <c r="T106" s="386">
        <v>103</v>
      </c>
      <c r="U106" s="386">
        <v>206</v>
      </c>
    </row>
    <row r="107" spans="1:21" ht="12.75">
      <c r="A107" s="291" t="s">
        <v>118</v>
      </c>
      <c r="B107" s="293">
        <v>1124135000</v>
      </c>
      <c r="C107" s="293">
        <v>3287263</v>
      </c>
      <c r="D107" s="576"/>
      <c r="E107" s="386">
        <v>706761.5449999999</v>
      </c>
      <c r="F107" s="386">
        <v>749495.9639999999</v>
      </c>
      <c r="G107" s="576"/>
      <c r="H107" s="576"/>
      <c r="I107" s="576"/>
      <c r="J107" s="576"/>
      <c r="K107" s="576"/>
      <c r="L107" s="576"/>
      <c r="M107" s="576"/>
      <c r="N107" s="576"/>
      <c r="Q107" s="293">
        <v>1124135000</v>
      </c>
      <c r="R107" s="293">
        <v>3287263</v>
      </c>
      <c r="S107" s="576"/>
      <c r="T107" s="386">
        <v>706761.5449999999</v>
      </c>
      <c r="U107" s="386">
        <v>749495.9639999999</v>
      </c>
    </row>
    <row r="108" spans="1:21" ht="12.75">
      <c r="A108" s="291" t="s">
        <v>128</v>
      </c>
      <c r="B108" s="293">
        <v>234694000</v>
      </c>
      <c r="C108" s="293">
        <v>1904569</v>
      </c>
      <c r="D108" s="576"/>
      <c r="E108" s="386">
        <v>1245588.126</v>
      </c>
      <c r="F108" s="386">
        <v>1028467.26</v>
      </c>
      <c r="G108" s="576"/>
      <c r="H108" s="576"/>
      <c r="I108" s="576"/>
      <c r="J108" s="576"/>
      <c r="K108" s="576"/>
      <c r="L108" s="576"/>
      <c r="M108" s="576"/>
      <c r="N108" s="576"/>
      <c r="Q108" s="293">
        <v>234694000</v>
      </c>
      <c r="R108" s="293">
        <v>1904569</v>
      </c>
      <c r="S108" s="576"/>
      <c r="T108" s="386">
        <v>1245588.126</v>
      </c>
      <c r="U108" s="386">
        <v>1028467.26</v>
      </c>
    </row>
    <row r="109" spans="1:21" ht="12.75">
      <c r="A109" s="291" t="s">
        <v>4</v>
      </c>
      <c r="B109" s="293">
        <v>74093000</v>
      </c>
      <c r="C109" s="293">
        <v>1648195</v>
      </c>
      <c r="D109" s="576"/>
      <c r="E109" s="386">
        <v>112077.26</v>
      </c>
      <c r="F109" s="386">
        <v>112077.26</v>
      </c>
      <c r="G109" s="576"/>
      <c r="H109" s="576"/>
      <c r="I109" s="576"/>
      <c r="J109" s="576"/>
      <c r="K109" s="576"/>
      <c r="L109" s="576"/>
      <c r="M109" s="576"/>
      <c r="N109" s="576"/>
      <c r="Q109" s="293">
        <v>74093000</v>
      </c>
      <c r="R109" s="293">
        <v>1648195</v>
      </c>
      <c r="S109" s="576"/>
      <c r="T109" s="386">
        <v>112077.26</v>
      </c>
      <c r="U109" s="386">
        <v>112077.26</v>
      </c>
    </row>
    <row r="110" spans="1:21" ht="12.75">
      <c r="A110" s="290" t="s">
        <v>143</v>
      </c>
      <c r="B110" s="293">
        <v>27500000</v>
      </c>
      <c r="C110" s="293">
        <v>438317</v>
      </c>
      <c r="D110" s="576"/>
      <c r="E110" s="386">
        <v>7889.706</v>
      </c>
      <c r="F110" s="386">
        <v>8328.023</v>
      </c>
      <c r="G110" s="576"/>
      <c r="H110" s="576"/>
      <c r="I110" s="576"/>
      <c r="J110" s="576"/>
      <c r="K110" s="576"/>
      <c r="L110" s="576"/>
      <c r="M110" s="576"/>
      <c r="N110" s="576"/>
      <c r="Q110" s="293">
        <v>27500000</v>
      </c>
      <c r="R110" s="293">
        <v>438317</v>
      </c>
      <c r="S110" s="576"/>
      <c r="T110" s="386">
        <v>7889.706</v>
      </c>
      <c r="U110" s="386">
        <v>8328.023</v>
      </c>
    </row>
    <row r="111" spans="1:21" ht="12.75">
      <c r="A111" s="291" t="s">
        <v>53</v>
      </c>
      <c r="B111" s="293">
        <v>4420000</v>
      </c>
      <c r="C111" s="293">
        <v>70273</v>
      </c>
      <c r="D111" s="576"/>
      <c r="E111" s="386">
        <v>4708.291</v>
      </c>
      <c r="F111" s="386">
        <v>7097.573</v>
      </c>
      <c r="G111" s="576"/>
      <c r="H111" s="576"/>
      <c r="I111" s="576"/>
      <c r="J111" s="576"/>
      <c r="K111" s="576"/>
      <c r="L111" s="576"/>
      <c r="M111" s="576"/>
      <c r="N111" s="576"/>
      <c r="Q111" s="293">
        <v>4420000</v>
      </c>
      <c r="R111" s="293">
        <v>70273</v>
      </c>
      <c r="S111" s="576"/>
      <c r="T111" s="386">
        <v>4708.291</v>
      </c>
      <c r="U111" s="386">
        <v>7097.573</v>
      </c>
    </row>
    <row r="112" spans="1:21" ht="12.75">
      <c r="A112" s="291" t="s">
        <v>5</v>
      </c>
      <c r="B112" s="293">
        <v>6990000</v>
      </c>
      <c r="C112" s="293">
        <v>22072</v>
      </c>
      <c r="D112" s="576"/>
      <c r="E112" s="386">
        <v>1346.3919999999998</v>
      </c>
      <c r="F112" s="386">
        <v>1589.184</v>
      </c>
      <c r="G112" s="576"/>
      <c r="H112" s="576"/>
      <c r="I112" s="576"/>
      <c r="J112" s="576"/>
      <c r="K112" s="576"/>
      <c r="L112" s="576"/>
      <c r="M112" s="576"/>
      <c r="N112" s="576"/>
      <c r="Q112" s="293">
        <v>6990000</v>
      </c>
      <c r="R112" s="293">
        <v>22072</v>
      </c>
      <c r="S112" s="576"/>
      <c r="T112" s="386">
        <v>1346.3919999999998</v>
      </c>
      <c r="U112" s="386">
        <v>1589.184</v>
      </c>
    </row>
    <row r="113" spans="1:21" ht="12.75">
      <c r="A113" s="291" t="s">
        <v>31</v>
      </c>
      <c r="B113" s="293">
        <v>58178000</v>
      </c>
      <c r="C113" s="293">
        <v>301318</v>
      </c>
      <c r="D113" s="576"/>
      <c r="E113" s="386">
        <v>77740.044</v>
      </c>
      <c r="F113" s="386">
        <v>89792.764</v>
      </c>
      <c r="G113" s="576"/>
      <c r="H113" s="576"/>
      <c r="I113" s="576"/>
      <c r="J113" s="576"/>
      <c r="K113" s="576"/>
      <c r="L113" s="576"/>
      <c r="M113" s="576"/>
      <c r="N113" s="576"/>
      <c r="Q113" s="293">
        <v>58178000</v>
      </c>
      <c r="R113" s="293">
        <v>301318</v>
      </c>
      <c r="S113" s="576"/>
      <c r="T113" s="386">
        <v>77740.044</v>
      </c>
      <c r="U113" s="386">
        <v>89792.764</v>
      </c>
    </row>
    <row r="114" spans="1:21" ht="12.75">
      <c r="A114" s="291" t="s">
        <v>90</v>
      </c>
      <c r="B114" s="293">
        <v>2782000</v>
      </c>
      <c r="C114" s="293">
        <v>10991</v>
      </c>
      <c r="D114" s="576"/>
      <c r="E114" s="386">
        <v>3506.129</v>
      </c>
      <c r="F114" s="386">
        <v>3440.183</v>
      </c>
      <c r="G114" s="576"/>
      <c r="H114" s="576"/>
      <c r="I114" s="576"/>
      <c r="J114" s="576"/>
      <c r="K114" s="576"/>
      <c r="L114" s="576"/>
      <c r="M114" s="576"/>
      <c r="N114" s="576"/>
      <c r="Q114" s="293">
        <v>2782000</v>
      </c>
      <c r="R114" s="293">
        <v>10991</v>
      </c>
      <c r="S114" s="576"/>
      <c r="T114" s="386">
        <v>3506.129</v>
      </c>
      <c r="U114" s="386">
        <v>3440.183</v>
      </c>
    </row>
    <row r="115" spans="1:21" ht="12.75">
      <c r="A115" s="291" t="s">
        <v>6</v>
      </c>
      <c r="B115" s="293">
        <v>127433000</v>
      </c>
      <c r="C115" s="293">
        <v>377915</v>
      </c>
      <c r="D115" s="576"/>
      <c r="E115" s="386">
        <v>258493.86</v>
      </c>
      <c r="F115" s="386">
        <v>258493.86</v>
      </c>
      <c r="G115" s="576"/>
      <c r="H115" s="576"/>
      <c r="I115" s="576"/>
      <c r="J115" s="576"/>
      <c r="K115" s="576"/>
      <c r="L115" s="576"/>
      <c r="M115" s="576"/>
      <c r="N115" s="576"/>
      <c r="Q115" s="293">
        <v>127433000</v>
      </c>
      <c r="R115" s="293">
        <v>377915</v>
      </c>
      <c r="S115" s="576"/>
      <c r="T115" s="386">
        <v>258493.86</v>
      </c>
      <c r="U115" s="386">
        <v>258493.86</v>
      </c>
    </row>
    <row r="116" spans="1:21" ht="12.75">
      <c r="A116" s="291" t="s">
        <v>98</v>
      </c>
      <c r="B116" s="293">
        <v>5997000</v>
      </c>
      <c r="C116" s="293">
        <v>89342</v>
      </c>
      <c r="D116" s="576"/>
      <c r="E116" s="386">
        <v>982.7620000000001</v>
      </c>
      <c r="F116" s="386">
        <v>982.7620000000001</v>
      </c>
      <c r="G116" s="576"/>
      <c r="H116" s="576"/>
      <c r="I116" s="576"/>
      <c r="J116" s="576"/>
      <c r="K116" s="576"/>
      <c r="L116" s="576"/>
      <c r="M116" s="576"/>
      <c r="N116" s="576"/>
      <c r="Q116" s="293">
        <v>5997000</v>
      </c>
      <c r="R116" s="293">
        <v>89342</v>
      </c>
      <c r="S116" s="576"/>
      <c r="T116" s="386">
        <v>982.7620000000001</v>
      </c>
      <c r="U116" s="386">
        <v>982.7620000000001</v>
      </c>
    </row>
    <row r="117" spans="1:21" ht="12.75">
      <c r="A117" s="291" t="s">
        <v>93</v>
      </c>
      <c r="B117" s="293">
        <v>15285000</v>
      </c>
      <c r="C117" s="293">
        <v>2724900</v>
      </c>
      <c r="D117" s="576"/>
      <c r="E117" s="386">
        <v>35423.7</v>
      </c>
      <c r="F117" s="386">
        <v>32698.8</v>
      </c>
      <c r="G117" s="576"/>
      <c r="H117" s="576"/>
      <c r="I117" s="576"/>
      <c r="J117" s="576"/>
      <c r="K117" s="576"/>
      <c r="L117" s="576"/>
      <c r="M117" s="576"/>
      <c r="N117" s="576"/>
      <c r="Q117" s="293">
        <v>15285000</v>
      </c>
      <c r="R117" s="293">
        <v>2724900</v>
      </c>
      <c r="S117" s="576"/>
      <c r="T117" s="386">
        <v>35423.7</v>
      </c>
      <c r="U117" s="386">
        <v>32698.8</v>
      </c>
    </row>
    <row r="118" spans="1:21" ht="12.75">
      <c r="A118" s="291" t="s">
        <v>107</v>
      </c>
      <c r="B118" s="293">
        <v>36914000</v>
      </c>
      <c r="C118" s="293">
        <v>580367</v>
      </c>
      <c r="D118" s="576"/>
      <c r="E118" s="386">
        <v>37723.855</v>
      </c>
      <c r="F118" s="386">
        <v>35982.754</v>
      </c>
      <c r="G118" s="576"/>
      <c r="H118" s="576"/>
      <c r="I118" s="576"/>
      <c r="J118" s="576"/>
      <c r="K118" s="576"/>
      <c r="L118" s="576"/>
      <c r="M118" s="576"/>
      <c r="N118" s="576"/>
      <c r="Q118" s="293">
        <v>36914000</v>
      </c>
      <c r="R118" s="293">
        <v>580367</v>
      </c>
      <c r="S118" s="576"/>
      <c r="T118" s="386">
        <v>37723.855</v>
      </c>
      <c r="U118" s="386">
        <v>35982.754</v>
      </c>
    </row>
    <row r="119" spans="1:21" ht="12.75">
      <c r="A119" s="291" t="s">
        <v>183</v>
      </c>
      <c r="B119" s="293">
        <v>95000</v>
      </c>
      <c r="C119" s="293">
        <v>726</v>
      </c>
      <c r="D119" s="576"/>
      <c r="E119" s="386">
        <v>107.44800000000001</v>
      </c>
      <c r="F119" s="386">
        <v>107.44800000000001</v>
      </c>
      <c r="G119" s="576"/>
      <c r="H119" s="576"/>
      <c r="I119" s="576"/>
      <c r="J119" s="576"/>
      <c r="K119" s="576"/>
      <c r="L119" s="576"/>
      <c r="M119" s="576"/>
      <c r="N119" s="576"/>
      <c r="Q119" s="293">
        <v>95000</v>
      </c>
      <c r="R119" s="293">
        <v>726</v>
      </c>
      <c r="S119" s="576"/>
      <c r="T119" s="386">
        <v>107.44800000000001</v>
      </c>
      <c r="U119" s="386">
        <v>107.44800000000001</v>
      </c>
    </row>
    <row r="120" spans="1:21" ht="12.75">
      <c r="A120" s="291" t="s">
        <v>7</v>
      </c>
      <c r="B120" s="293">
        <v>2507000</v>
      </c>
      <c r="C120" s="293">
        <v>17818</v>
      </c>
      <c r="D120" s="576"/>
      <c r="E120" s="386">
        <v>35.636</v>
      </c>
      <c r="F120" s="386">
        <v>53.454</v>
      </c>
      <c r="G120" s="576"/>
      <c r="H120" s="576"/>
      <c r="I120" s="576"/>
      <c r="J120" s="576"/>
      <c r="K120" s="576"/>
      <c r="L120" s="576"/>
      <c r="M120" s="576"/>
      <c r="N120" s="576"/>
      <c r="Q120" s="293">
        <v>2507000</v>
      </c>
      <c r="R120" s="293">
        <v>17818</v>
      </c>
      <c r="S120" s="576"/>
      <c r="T120" s="386">
        <v>35.636</v>
      </c>
      <c r="U120" s="386">
        <v>53.454</v>
      </c>
    </row>
    <row r="121" spans="1:21" ht="12.75">
      <c r="A121" s="291" t="s">
        <v>82</v>
      </c>
      <c r="B121" s="293">
        <v>5284000</v>
      </c>
      <c r="C121" s="293">
        <v>199951</v>
      </c>
      <c r="D121" s="576"/>
      <c r="E121" s="386">
        <v>8797.844000000001</v>
      </c>
      <c r="F121" s="386">
        <v>8997.795</v>
      </c>
      <c r="G121" s="576"/>
      <c r="H121" s="576"/>
      <c r="I121" s="576"/>
      <c r="J121" s="576"/>
      <c r="K121" s="576"/>
      <c r="L121" s="576"/>
      <c r="M121" s="576"/>
      <c r="N121" s="576"/>
      <c r="Q121" s="293">
        <v>5284000</v>
      </c>
      <c r="R121" s="293">
        <v>199951</v>
      </c>
      <c r="S121" s="576"/>
      <c r="T121" s="386">
        <v>8797.844000000001</v>
      </c>
      <c r="U121" s="386">
        <v>8997.795</v>
      </c>
    </row>
    <row r="122" spans="1:21" ht="12.75">
      <c r="A122" s="291" t="s">
        <v>83</v>
      </c>
      <c r="B122" s="293">
        <v>6035000</v>
      </c>
      <c r="C122" s="293">
        <v>236800</v>
      </c>
      <c r="D122" s="576"/>
      <c r="E122" s="386">
        <v>177600</v>
      </c>
      <c r="F122" s="386">
        <v>165523.2</v>
      </c>
      <c r="G122" s="576"/>
      <c r="H122" s="576"/>
      <c r="I122" s="576"/>
      <c r="J122" s="576"/>
      <c r="K122" s="576"/>
      <c r="L122" s="576"/>
      <c r="M122" s="576"/>
      <c r="N122" s="576"/>
      <c r="Q122" s="293">
        <v>6035000</v>
      </c>
      <c r="R122" s="293">
        <v>236800</v>
      </c>
      <c r="S122" s="576"/>
      <c r="T122" s="386">
        <v>177600</v>
      </c>
      <c r="U122" s="386">
        <v>165523.2</v>
      </c>
    </row>
    <row r="123" spans="1:21" ht="12.75">
      <c r="A123" s="291" t="s">
        <v>33</v>
      </c>
      <c r="B123" s="293">
        <v>2260000</v>
      </c>
      <c r="C123" s="293">
        <v>64589</v>
      </c>
      <c r="D123" s="576"/>
      <c r="E123" s="386">
        <v>33004.979</v>
      </c>
      <c r="F123" s="386">
        <v>34167.581</v>
      </c>
      <c r="G123" s="576"/>
      <c r="H123" s="576"/>
      <c r="I123" s="576"/>
      <c r="J123" s="576"/>
      <c r="K123" s="576"/>
      <c r="L123" s="576"/>
      <c r="M123" s="576"/>
      <c r="N123" s="576"/>
      <c r="Q123" s="293">
        <v>2260000</v>
      </c>
      <c r="R123" s="293">
        <v>64589</v>
      </c>
      <c r="S123" s="576"/>
      <c r="T123" s="386">
        <v>33004.979</v>
      </c>
      <c r="U123" s="386">
        <v>34167.581</v>
      </c>
    </row>
    <row r="124" spans="1:21" ht="12.75">
      <c r="A124" s="291" t="s">
        <v>91</v>
      </c>
      <c r="B124" s="293">
        <v>3896000</v>
      </c>
      <c r="C124" s="293">
        <v>10400</v>
      </c>
      <c r="D124" s="576"/>
      <c r="E124" s="386">
        <v>1331.2</v>
      </c>
      <c r="F124" s="386">
        <v>1383.2</v>
      </c>
      <c r="G124" s="576"/>
      <c r="H124" s="576"/>
      <c r="I124" s="576"/>
      <c r="J124" s="576"/>
      <c r="K124" s="576"/>
      <c r="L124" s="576"/>
      <c r="M124" s="576"/>
      <c r="N124" s="576"/>
      <c r="Q124" s="293">
        <v>3896000</v>
      </c>
      <c r="R124" s="293">
        <v>10400</v>
      </c>
      <c r="S124" s="576"/>
      <c r="T124" s="386">
        <v>1331.2</v>
      </c>
      <c r="U124" s="386">
        <v>1383.2</v>
      </c>
    </row>
    <row r="125" spans="1:21" ht="12.75">
      <c r="A125" s="291" t="s">
        <v>184</v>
      </c>
      <c r="B125" s="293">
        <v>3270000</v>
      </c>
      <c r="C125" s="293">
        <v>111369</v>
      </c>
      <c r="D125" s="576"/>
      <c r="E125" s="386">
        <v>57020.92800000001</v>
      </c>
      <c r="F125" s="386">
        <v>51786.585</v>
      </c>
      <c r="G125" s="576"/>
      <c r="H125" s="576"/>
      <c r="I125" s="576"/>
      <c r="J125" s="576"/>
      <c r="K125" s="576"/>
      <c r="L125" s="576"/>
      <c r="M125" s="576"/>
      <c r="N125" s="576"/>
      <c r="Q125" s="293">
        <v>3270000</v>
      </c>
      <c r="R125" s="293">
        <v>111369</v>
      </c>
      <c r="S125" s="576"/>
      <c r="T125" s="386">
        <v>57020.92800000001</v>
      </c>
      <c r="U125" s="386">
        <v>51786.585</v>
      </c>
    </row>
    <row r="126" spans="1:21" ht="12.75">
      <c r="A126" s="291" t="s">
        <v>268</v>
      </c>
      <c r="B126" s="293">
        <v>6050000</v>
      </c>
      <c r="C126" s="293">
        <v>1759540</v>
      </c>
      <c r="D126" s="576"/>
      <c r="E126" s="386">
        <v>1759.54</v>
      </c>
      <c r="F126" s="386">
        <v>1759.54</v>
      </c>
      <c r="G126" s="576"/>
      <c r="H126" s="576"/>
      <c r="I126" s="576"/>
      <c r="J126" s="576"/>
      <c r="K126" s="576"/>
      <c r="L126" s="576"/>
      <c r="M126" s="576"/>
      <c r="N126" s="576"/>
      <c r="Q126" s="293">
        <v>6050000</v>
      </c>
      <c r="R126" s="293">
        <v>1759540</v>
      </c>
      <c r="S126" s="576"/>
      <c r="T126" s="386">
        <v>1759.54</v>
      </c>
      <c r="U126" s="386">
        <v>1759.54</v>
      </c>
    </row>
    <row r="127" spans="1:21" ht="12.75">
      <c r="A127" s="291" t="s">
        <v>47</v>
      </c>
      <c r="B127" s="293">
        <v>3575000</v>
      </c>
      <c r="C127" s="293">
        <v>65300</v>
      </c>
      <c r="D127" s="576"/>
      <c r="E127" s="386">
        <v>20243</v>
      </c>
      <c r="F127" s="386">
        <v>22071.4</v>
      </c>
      <c r="G127" s="576"/>
      <c r="H127" s="576"/>
      <c r="I127" s="576"/>
      <c r="J127" s="576"/>
      <c r="K127" s="576"/>
      <c r="L127" s="576"/>
      <c r="M127" s="576"/>
      <c r="N127" s="576"/>
      <c r="Q127" s="293">
        <v>3575000</v>
      </c>
      <c r="R127" s="293">
        <v>65300</v>
      </c>
      <c r="S127" s="576"/>
      <c r="T127" s="386">
        <v>20243</v>
      </c>
      <c r="U127" s="386">
        <v>22071.4</v>
      </c>
    </row>
    <row r="128" spans="1:21" ht="12.75">
      <c r="A128" s="291" t="s">
        <v>8</v>
      </c>
      <c r="B128" s="293">
        <v>480000</v>
      </c>
      <c r="C128" s="293">
        <v>2586</v>
      </c>
      <c r="D128" s="576"/>
      <c r="E128" s="386">
        <v>858.552</v>
      </c>
      <c r="F128" s="386">
        <v>868.8960000000001</v>
      </c>
      <c r="G128" s="576"/>
      <c r="H128" s="576"/>
      <c r="I128" s="576"/>
      <c r="J128" s="576"/>
      <c r="K128" s="576"/>
      <c r="L128" s="576"/>
      <c r="M128" s="576"/>
      <c r="N128" s="576"/>
      <c r="Q128" s="293">
        <v>480000</v>
      </c>
      <c r="R128" s="293">
        <v>2586</v>
      </c>
      <c r="S128" s="576"/>
      <c r="T128" s="386">
        <v>858.552</v>
      </c>
      <c r="U128" s="386">
        <v>868.8960000000001</v>
      </c>
    </row>
    <row r="129" spans="1:21" ht="12.75">
      <c r="A129" s="291" t="s">
        <v>77</v>
      </c>
      <c r="B129" s="293">
        <v>2056000</v>
      </c>
      <c r="C129" s="293">
        <v>25713</v>
      </c>
      <c r="D129" s="576"/>
      <c r="E129" s="386">
        <v>9230.966999999999</v>
      </c>
      <c r="F129" s="386">
        <v>9848.079</v>
      </c>
      <c r="G129" s="576"/>
      <c r="H129" s="576"/>
      <c r="I129" s="576"/>
      <c r="J129" s="576"/>
      <c r="K129" s="576"/>
      <c r="L129" s="576"/>
      <c r="M129" s="576"/>
      <c r="N129" s="576"/>
      <c r="Q129" s="293">
        <v>2056000</v>
      </c>
      <c r="R129" s="293">
        <v>25713</v>
      </c>
      <c r="S129" s="576"/>
      <c r="T129" s="386">
        <v>9230.966999999999</v>
      </c>
      <c r="U129" s="386">
        <v>9848.079</v>
      </c>
    </row>
    <row r="130" spans="1:21" ht="12.75">
      <c r="A130" s="291" t="s">
        <v>116</v>
      </c>
      <c r="B130" s="293">
        <v>19449000</v>
      </c>
      <c r="C130" s="293">
        <v>587041</v>
      </c>
      <c r="D130" s="576"/>
      <c r="E130" s="386">
        <v>137954.635</v>
      </c>
      <c r="F130" s="386">
        <v>129736.061</v>
      </c>
      <c r="G130" s="576"/>
      <c r="H130" s="576"/>
      <c r="I130" s="576"/>
      <c r="J130" s="576"/>
      <c r="K130" s="576"/>
      <c r="L130" s="576"/>
      <c r="M130" s="576"/>
      <c r="N130" s="576"/>
      <c r="Q130" s="293">
        <v>19449000</v>
      </c>
      <c r="R130" s="293">
        <v>587041</v>
      </c>
      <c r="S130" s="576"/>
      <c r="T130" s="386">
        <v>137954.635</v>
      </c>
      <c r="U130" s="386">
        <v>129736.061</v>
      </c>
    </row>
    <row r="131" spans="1:21" ht="12.75">
      <c r="A131" s="291" t="s">
        <v>106</v>
      </c>
      <c r="B131" s="293">
        <v>14233000</v>
      </c>
      <c r="C131" s="293">
        <v>118484</v>
      </c>
      <c r="D131" s="576"/>
      <c r="E131" s="386">
        <v>49052.376</v>
      </c>
      <c r="F131" s="386">
        <v>42891.208</v>
      </c>
      <c r="G131" s="576"/>
      <c r="H131" s="576"/>
      <c r="I131" s="576"/>
      <c r="J131" s="576"/>
      <c r="K131" s="576"/>
      <c r="L131" s="576"/>
      <c r="M131" s="576"/>
      <c r="N131" s="576"/>
      <c r="Q131" s="293">
        <v>14233000</v>
      </c>
      <c r="R131" s="293">
        <v>118484</v>
      </c>
      <c r="S131" s="576"/>
      <c r="T131" s="386">
        <v>49052.376</v>
      </c>
      <c r="U131" s="386">
        <v>42891.208</v>
      </c>
    </row>
    <row r="132" spans="1:21" ht="12.75">
      <c r="A132" s="291" t="s">
        <v>9</v>
      </c>
      <c r="B132" s="293">
        <v>26896000</v>
      </c>
      <c r="C132" s="293">
        <v>329847</v>
      </c>
      <c r="D132" s="576"/>
      <c r="E132" s="386">
        <v>224625.80699999997</v>
      </c>
      <c r="F132" s="386">
        <v>209782.69199999998</v>
      </c>
      <c r="G132" s="576"/>
      <c r="H132" s="576"/>
      <c r="I132" s="576"/>
      <c r="J132" s="576"/>
      <c r="K132" s="576"/>
      <c r="L132" s="576"/>
      <c r="M132" s="576"/>
      <c r="N132" s="576"/>
      <c r="Q132" s="293">
        <v>26896000</v>
      </c>
      <c r="R132" s="293">
        <v>329847</v>
      </c>
      <c r="S132" s="576"/>
      <c r="T132" s="386">
        <v>224625.80699999997</v>
      </c>
      <c r="U132" s="386">
        <v>209782.69199999998</v>
      </c>
    </row>
    <row r="133" spans="1:21" ht="12.75">
      <c r="A133" s="291" t="s">
        <v>56</v>
      </c>
      <c r="B133" s="293">
        <v>365000</v>
      </c>
      <c r="C133" s="293">
        <v>298</v>
      </c>
      <c r="D133" s="576"/>
      <c r="E133" s="386">
        <v>9.834</v>
      </c>
      <c r="F133" s="386">
        <v>9.834</v>
      </c>
      <c r="G133" s="576"/>
      <c r="H133" s="576"/>
      <c r="I133" s="576"/>
      <c r="J133" s="576"/>
      <c r="K133" s="576"/>
      <c r="L133" s="576"/>
      <c r="M133" s="576"/>
      <c r="N133" s="576"/>
      <c r="Q133" s="293">
        <v>365000</v>
      </c>
      <c r="R133" s="293">
        <v>298</v>
      </c>
      <c r="S133" s="576"/>
      <c r="T133" s="386">
        <v>9.834</v>
      </c>
      <c r="U133" s="386">
        <v>9.834</v>
      </c>
    </row>
    <row r="134" spans="1:21" ht="12.75">
      <c r="A134" s="291" t="s">
        <v>149</v>
      </c>
      <c r="B134" s="293">
        <v>12769000</v>
      </c>
      <c r="C134" s="293">
        <v>1240192</v>
      </c>
      <c r="D134" s="576"/>
      <c r="E134" s="386">
        <v>142622.08</v>
      </c>
      <c r="F134" s="386">
        <v>131460.35199999998</v>
      </c>
      <c r="G134" s="576"/>
      <c r="H134" s="576"/>
      <c r="I134" s="576"/>
      <c r="J134" s="576"/>
      <c r="K134" s="576"/>
      <c r="L134" s="576"/>
      <c r="M134" s="576"/>
      <c r="N134" s="576"/>
      <c r="Q134" s="293">
        <v>12769000</v>
      </c>
      <c r="R134" s="293">
        <v>1240192</v>
      </c>
      <c r="S134" s="576"/>
      <c r="T134" s="386">
        <v>142622.08</v>
      </c>
      <c r="U134" s="386">
        <v>131460.35199999998</v>
      </c>
    </row>
    <row r="135" spans="1:21" ht="12.75">
      <c r="A135" s="291" t="s">
        <v>26</v>
      </c>
      <c r="B135" s="293">
        <v>402000</v>
      </c>
      <c r="C135" s="293">
        <v>316</v>
      </c>
      <c r="D135" s="576"/>
      <c r="E135" s="386">
        <v>0</v>
      </c>
      <c r="F135" s="386">
        <v>0</v>
      </c>
      <c r="G135" s="576"/>
      <c r="H135" s="576"/>
      <c r="I135" s="576"/>
      <c r="J135" s="576"/>
      <c r="K135" s="576"/>
      <c r="L135" s="576"/>
      <c r="M135" s="576"/>
      <c r="N135" s="576"/>
      <c r="Q135" s="293">
        <v>402000</v>
      </c>
      <c r="R135" s="293">
        <v>316</v>
      </c>
      <c r="S135" s="576"/>
      <c r="T135" s="386">
        <v>0</v>
      </c>
      <c r="U135" s="386">
        <v>0</v>
      </c>
    </row>
    <row r="136" spans="1:21" ht="12.75">
      <c r="A136" s="291" t="s">
        <v>169</v>
      </c>
      <c r="B136" s="293">
        <v>426000</v>
      </c>
      <c r="C136" s="293">
        <v>1100</v>
      </c>
      <c r="D136" s="576"/>
      <c r="E136" s="386">
        <v>502.7</v>
      </c>
      <c r="F136" s="386">
        <v>502.7</v>
      </c>
      <c r="G136" s="576"/>
      <c r="H136" s="576"/>
      <c r="I136" s="576"/>
      <c r="J136" s="576"/>
      <c r="K136" s="576"/>
      <c r="L136" s="576"/>
      <c r="M136" s="576"/>
      <c r="N136" s="576"/>
      <c r="Q136" s="293">
        <v>426000</v>
      </c>
      <c r="R136" s="293">
        <v>1100</v>
      </c>
      <c r="S136" s="576"/>
      <c r="T136" s="386">
        <v>502.7</v>
      </c>
      <c r="U136" s="386">
        <v>502.7</v>
      </c>
    </row>
    <row r="137" spans="1:21" ht="12.75">
      <c r="A137" s="291" t="s">
        <v>153</v>
      </c>
      <c r="B137" s="293">
        <v>2981000</v>
      </c>
      <c r="C137" s="293">
        <v>1025520</v>
      </c>
      <c r="D137" s="576"/>
      <c r="E137" s="386">
        <v>4102.08</v>
      </c>
      <c r="F137" s="386">
        <v>3076.56</v>
      </c>
      <c r="G137" s="576"/>
      <c r="H137" s="576"/>
      <c r="I137" s="576"/>
      <c r="J137" s="576"/>
      <c r="K137" s="576"/>
      <c r="L137" s="576"/>
      <c r="M137" s="576"/>
      <c r="N137" s="576"/>
      <c r="Q137" s="293">
        <v>2981000</v>
      </c>
      <c r="R137" s="293">
        <v>1025520</v>
      </c>
      <c r="S137" s="576"/>
      <c r="T137" s="386">
        <v>4102.08</v>
      </c>
      <c r="U137" s="386">
        <v>3076.56</v>
      </c>
    </row>
    <row r="138" spans="1:21" ht="12.75">
      <c r="A138" s="291" t="s">
        <v>21</v>
      </c>
      <c r="B138" s="293">
        <v>1264000</v>
      </c>
      <c r="C138" s="293">
        <v>2040</v>
      </c>
      <c r="D138" s="576"/>
      <c r="E138" s="386">
        <v>391.68</v>
      </c>
      <c r="F138" s="386">
        <v>350.88</v>
      </c>
      <c r="G138" s="576"/>
      <c r="H138" s="576"/>
      <c r="I138" s="576"/>
      <c r="J138" s="576"/>
      <c r="K138" s="576"/>
      <c r="L138" s="576"/>
      <c r="M138" s="576"/>
      <c r="N138" s="576"/>
      <c r="Q138" s="293">
        <v>1264000</v>
      </c>
      <c r="R138" s="293">
        <v>2040</v>
      </c>
      <c r="S138" s="576"/>
      <c r="T138" s="386">
        <v>391.68</v>
      </c>
      <c r="U138" s="386">
        <v>350.88</v>
      </c>
    </row>
    <row r="139" spans="1:21" ht="12.75">
      <c r="A139" s="291" t="s">
        <v>52</v>
      </c>
      <c r="B139" s="293">
        <v>108701000</v>
      </c>
      <c r="C139" s="293">
        <v>1964375</v>
      </c>
      <c r="D139" s="576"/>
      <c r="E139" s="386">
        <v>711103.75</v>
      </c>
      <c r="F139" s="386">
        <v>661994.375</v>
      </c>
      <c r="G139" s="576"/>
      <c r="H139" s="576"/>
      <c r="I139" s="576"/>
      <c r="J139" s="576"/>
      <c r="K139" s="576"/>
      <c r="L139" s="576"/>
      <c r="M139" s="576"/>
      <c r="N139" s="576"/>
      <c r="Q139" s="293">
        <v>108701000</v>
      </c>
      <c r="R139" s="293">
        <v>1964375</v>
      </c>
      <c r="S139" s="576"/>
      <c r="T139" s="386">
        <v>711103.75</v>
      </c>
      <c r="U139" s="386">
        <v>661994.375</v>
      </c>
    </row>
    <row r="140" spans="1:21" ht="12.75">
      <c r="A140" s="291" t="s">
        <v>88</v>
      </c>
      <c r="B140" s="293">
        <v>4329000</v>
      </c>
      <c r="C140" s="293">
        <v>33851</v>
      </c>
      <c r="D140" s="576"/>
      <c r="E140" s="386">
        <v>3283.5469999999996</v>
      </c>
      <c r="F140" s="386">
        <v>3723.61</v>
      </c>
      <c r="G140" s="576"/>
      <c r="H140" s="576"/>
      <c r="I140" s="576"/>
      <c r="J140" s="576"/>
      <c r="K140" s="576"/>
      <c r="L140" s="576"/>
      <c r="M140" s="576"/>
      <c r="N140" s="576"/>
      <c r="Q140" s="293">
        <v>4329000</v>
      </c>
      <c r="R140" s="293">
        <v>33851</v>
      </c>
      <c r="S140" s="576"/>
      <c r="T140" s="386">
        <v>3283.5469999999996</v>
      </c>
      <c r="U140" s="386">
        <v>3723.61</v>
      </c>
    </row>
    <row r="141" spans="1:21" ht="12.75">
      <c r="A141" s="291" t="s">
        <v>136</v>
      </c>
      <c r="B141" s="293">
        <v>2952000</v>
      </c>
      <c r="C141" s="293">
        <v>1564100</v>
      </c>
      <c r="D141" s="576"/>
      <c r="E141" s="386">
        <v>125128</v>
      </c>
      <c r="F141" s="386">
        <v>112615.2</v>
      </c>
      <c r="G141" s="576"/>
      <c r="H141" s="576"/>
      <c r="I141" s="576"/>
      <c r="J141" s="576"/>
      <c r="K141" s="576"/>
      <c r="L141" s="576"/>
      <c r="M141" s="576"/>
      <c r="N141" s="576"/>
      <c r="Q141" s="293">
        <v>2952000</v>
      </c>
      <c r="R141" s="293">
        <v>1564100</v>
      </c>
      <c r="S141" s="576"/>
      <c r="T141" s="386">
        <v>125128</v>
      </c>
      <c r="U141" s="386">
        <v>112615.2</v>
      </c>
    </row>
    <row r="142" spans="1:21" ht="12.75">
      <c r="A142" s="291" t="s">
        <v>239</v>
      </c>
      <c r="B142" s="293">
        <v>685000</v>
      </c>
      <c r="C142" s="308"/>
      <c r="D142" s="576"/>
      <c r="E142" s="387"/>
      <c r="F142" s="387"/>
      <c r="G142" s="576"/>
      <c r="H142" s="576"/>
      <c r="I142" s="576"/>
      <c r="J142" s="576"/>
      <c r="K142" s="576"/>
      <c r="L142" s="576"/>
      <c r="M142" s="576"/>
      <c r="N142" s="576"/>
      <c r="Q142" s="293"/>
      <c r="R142" s="308"/>
      <c r="S142" s="576"/>
      <c r="T142" s="387"/>
      <c r="U142" s="387"/>
    </row>
    <row r="143" spans="1:21" ht="12.75">
      <c r="A143" s="291" t="s">
        <v>60</v>
      </c>
      <c r="B143" s="293">
        <v>30594000</v>
      </c>
      <c r="C143" s="293">
        <v>446550</v>
      </c>
      <c r="D143" s="576"/>
      <c r="E143" s="386">
        <v>50460.15</v>
      </c>
      <c r="F143" s="386">
        <v>50906.7</v>
      </c>
      <c r="G143" s="576"/>
      <c r="H143" s="576"/>
      <c r="I143" s="576"/>
      <c r="J143" s="576"/>
      <c r="K143" s="576"/>
      <c r="L143" s="576"/>
      <c r="M143" s="576"/>
      <c r="N143" s="576"/>
      <c r="Q143" s="293">
        <v>30594000</v>
      </c>
      <c r="R143" s="293">
        <v>446550</v>
      </c>
      <c r="S143" s="576"/>
      <c r="T143" s="386">
        <v>50460.15</v>
      </c>
      <c r="U143" s="386">
        <v>50906.7</v>
      </c>
    </row>
    <row r="144" spans="1:21" ht="12.75">
      <c r="A144" s="291" t="s">
        <v>110</v>
      </c>
      <c r="B144" s="293">
        <v>20906000</v>
      </c>
      <c r="C144" s="293">
        <v>801590</v>
      </c>
      <c r="D144" s="576"/>
      <c r="E144" s="386">
        <v>442477.68</v>
      </c>
      <c r="F144" s="386">
        <v>408810.9</v>
      </c>
      <c r="G144" s="576"/>
      <c r="H144" s="576"/>
      <c r="I144" s="576"/>
      <c r="J144" s="576"/>
      <c r="K144" s="576"/>
      <c r="L144" s="576"/>
      <c r="M144" s="576"/>
      <c r="N144" s="576"/>
      <c r="Q144" s="293">
        <v>20906000</v>
      </c>
      <c r="R144" s="293">
        <v>801590</v>
      </c>
      <c r="S144" s="576"/>
      <c r="T144" s="386">
        <v>442477.68</v>
      </c>
      <c r="U144" s="386">
        <v>408810.9</v>
      </c>
    </row>
    <row r="145" spans="1:21" ht="12.75">
      <c r="A145" s="291" t="s">
        <v>270</v>
      </c>
      <c r="B145" s="293">
        <v>51756000</v>
      </c>
      <c r="C145" s="293">
        <v>676578</v>
      </c>
      <c r="D145" s="576"/>
      <c r="E145" s="386">
        <v>403240.488</v>
      </c>
      <c r="F145" s="386">
        <v>343025.04600000003</v>
      </c>
      <c r="G145" s="576"/>
      <c r="H145" s="576"/>
      <c r="I145" s="576"/>
      <c r="J145" s="576"/>
      <c r="K145" s="576"/>
      <c r="L145" s="576"/>
      <c r="M145" s="576"/>
      <c r="N145" s="576"/>
      <c r="Q145" s="293">
        <v>51756000</v>
      </c>
      <c r="R145" s="293">
        <v>676578</v>
      </c>
      <c r="S145" s="576"/>
      <c r="T145" s="386">
        <v>403240.488</v>
      </c>
      <c r="U145" s="386">
        <v>343025.04600000003</v>
      </c>
    </row>
    <row r="146" spans="1:21" ht="12.75">
      <c r="A146" s="291" t="s">
        <v>84</v>
      </c>
      <c r="B146" s="293">
        <v>2069000</v>
      </c>
      <c r="C146" s="293">
        <v>824292</v>
      </c>
      <c r="D146" s="576"/>
      <c r="E146" s="386">
        <v>87374.952</v>
      </c>
      <c r="F146" s="386">
        <v>76659.156</v>
      </c>
      <c r="G146" s="576"/>
      <c r="H146" s="576"/>
      <c r="I146" s="576"/>
      <c r="J146" s="576"/>
      <c r="K146" s="576"/>
      <c r="L146" s="576"/>
      <c r="M146" s="576"/>
      <c r="N146" s="576"/>
      <c r="Q146" s="293">
        <v>2069000</v>
      </c>
      <c r="R146" s="293">
        <v>824292</v>
      </c>
      <c r="S146" s="576"/>
      <c r="T146" s="386">
        <v>87374.952</v>
      </c>
      <c r="U146" s="386">
        <v>76659.156</v>
      </c>
    </row>
    <row r="147" spans="1:21" ht="12.75">
      <c r="A147" s="291" t="s">
        <v>48</v>
      </c>
      <c r="B147" s="293">
        <v>27828000</v>
      </c>
      <c r="C147" s="293">
        <v>147181</v>
      </c>
      <c r="D147" s="576"/>
      <c r="E147" s="386">
        <v>49599.997</v>
      </c>
      <c r="F147" s="386">
        <v>37383.973999999995</v>
      </c>
      <c r="G147" s="576"/>
      <c r="H147" s="576"/>
      <c r="I147" s="576"/>
      <c r="J147" s="576"/>
      <c r="K147" s="576"/>
      <c r="L147" s="576"/>
      <c r="M147" s="576"/>
      <c r="N147" s="576"/>
      <c r="Q147" s="293">
        <v>27828000</v>
      </c>
      <c r="R147" s="293">
        <v>147181</v>
      </c>
      <c r="S147" s="576"/>
      <c r="T147" s="386">
        <v>49599.997</v>
      </c>
      <c r="U147" s="386">
        <v>37383.973999999995</v>
      </c>
    </row>
    <row r="148" spans="1:21" ht="12.75">
      <c r="A148" s="291" t="s">
        <v>55</v>
      </c>
      <c r="B148" s="293">
        <v>16571000</v>
      </c>
      <c r="C148" s="293">
        <v>41543</v>
      </c>
      <c r="D148" s="576"/>
      <c r="E148" s="386">
        <v>4237.3859999999995</v>
      </c>
      <c r="F148" s="386">
        <v>4486.644</v>
      </c>
      <c r="G148" s="576"/>
      <c r="H148" s="576"/>
      <c r="I148" s="576"/>
      <c r="J148" s="576"/>
      <c r="K148" s="576"/>
      <c r="L148" s="576"/>
      <c r="M148" s="576"/>
      <c r="N148" s="576"/>
      <c r="Q148" s="293">
        <v>16571000</v>
      </c>
      <c r="R148" s="293">
        <v>41543</v>
      </c>
      <c r="S148" s="576"/>
      <c r="T148" s="386">
        <v>4237.3859999999995</v>
      </c>
      <c r="U148" s="386">
        <v>4486.644</v>
      </c>
    </row>
    <row r="149" spans="1:21" ht="12.75">
      <c r="A149" s="291" t="s">
        <v>159</v>
      </c>
      <c r="B149" s="293">
        <v>224000</v>
      </c>
      <c r="C149" s="293">
        <v>800</v>
      </c>
      <c r="D149" s="576"/>
      <c r="E149" s="386">
        <v>10.4</v>
      </c>
      <c r="F149" s="386">
        <v>10.4</v>
      </c>
      <c r="G149" s="576"/>
      <c r="H149" s="576"/>
      <c r="I149" s="576"/>
      <c r="J149" s="576"/>
      <c r="K149" s="576"/>
      <c r="L149" s="576"/>
      <c r="M149" s="576"/>
      <c r="N149" s="576"/>
      <c r="Q149" s="293">
        <v>224000</v>
      </c>
      <c r="R149" s="293">
        <v>800</v>
      </c>
      <c r="S149" s="576"/>
      <c r="T149" s="386">
        <v>10.4</v>
      </c>
      <c r="U149" s="386">
        <v>10.4</v>
      </c>
    </row>
    <row r="150" spans="1:21" ht="12.75">
      <c r="A150" s="291" t="s">
        <v>162</v>
      </c>
      <c r="B150" s="293">
        <v>240000</v>
      </c>
      <c r="C150" s="293">
        <v>19060</v>
      </c>
      <c r="D150" s="576"/>
      <c r="E150" s="386">
        <v>8748.54</v>
      </c>
      <c r="F150" s="386">
        <v>8748.54</v>
      </c>
      <c r="G150" s="576"/>
      <c r="H150" s="576"/>
      <c r="I150" s="576"/>
      <c r="J150" s="576"/>
      <c r="K150" s="576"/>
      <c r="L150" s="576"/>
      <c r="M150" s="576"/>
      <c r="N150" s="576"/>
      <c r="Q150" s="293">
        <v>240000</v>
      </c>
      <c r="R150" s="293">
        <v>19060</v>
      </c>
      <c r="S150" s="576"/>
      <c r="T150" s="386">
        <v>8748.54</v>
      </c>
      <c r="U150" s="386">
        <v>8748.54</v>
      </c>
    </row>
    <row r="151" spans="1:21" ht="12.75">
      <c r="A151" s="291" t="s">
        <v>10</v>
      </c>
      <c r="B151" s="293">
        <v>4130000</v>
      </c>
      <c r="C151" s="293">
        <v>270467</v>
      </c>
      <c r="D151" s="576"/>
      <c r="E151" s="386">
        <v>77894.496</v>
      </c>
      <c r="F151" s="386">
        <v>83844.77</v>
      </c>
      <c r="G151" s="576"/>
      <c r="H151" s="576"/>
      <c r="I151" s="576"/>
      <c r="J151" s="576"/>
      <c r="K151" s="576"/>
      <c r="L151" s="576"/>
      <c r="M151" s="576"/>
      <c r="N151" s="576"/>
      <c r="Q151" s="293">
        <v>4130000</v>
      </c>
      <c r="R151" s="293">
        <v>270467</v>
      </c>
      <c r="S151" s="576"/>
      <c r="T151" s="386">
        <v>77894.496</v>
      </c>
      <c r="U151" s="386">
        <v>83844.77</v>
      </c>
    </row>
    <row r="152" spans="1:21" ht="12.75">
      <c r="A152" s="291" t="s">
        <v>94</v>
      </c>
      <c r="B152" s="293">
        <v>5680000</v>
      </c>
      <c r="C152" s="293">
        <v>120340</v>
      </c>
      <c r="D152" s="576"/>
      <c r="E152" s="386">
        <v>44766.48</v>
      </c>
      <c r="F152" s="386">
        <v>34296.9</v>
      </c>
      <c r="G152" s="576"/>
      <c r="H152" s="576"/>
      <c r="I152" s="576"/>
      <c r="J152" s="576"/>
      <c r="K152" s="576"/>
      <c r="L152" s="576"/>
      <c r="M152" s="576"/>
      <c r="N152" s="576"/>
      <c r="Q152" s="293">
        <v>5680000</v>
      </c>
      <c r="R152" s="293">
        <v>120340</v>
      </c>
      <c r="S152" s="576"/>
      <c r="T152" s="386">
        <v>44766.48</v>
      </c>
      <c r="U152" s="386">
        <v>34296.9</v>
      </c>
    </row>
    <row r="153" spans="1:21" ht="12.75">
      <c r="A153" s="291" t="s">
        <v>150</v>
      </c>
      <c r="B153" s="293">
        <v>14215000</v>
      </c>
      <c r="C153" s="293">
        <v>1267000</v>
      </c>
      <c r="D153" s="576"/>
      <c r="E153" s="386">
        <v>19005</v>
      </c>
      <c r="F153" s="386">
        <v>12670</v>
      </c>
      <c r="G153" s="576"/>
      <c r="H153" s="576"/>
      <c r="I153" s="576"/>
      <c r="J153" s="576"/>
      <c r="K153" s="576"/>
      <c r="L153" s="576"/>
      <c r="M153" s="576"/>
      <c r="N153" s="576"/>
      <c r="Q153" s="293">
        <v>14215000</v>
      </c>
      <c r="R153" s="293">
        <v>1267000</v>
      </c>
      <c r="S153" s="576"/>
      <c r="T153" s="386">
        <v>19005</v>
      </c>
      <c r="U153" s="386">
        <v>12670</v>
      </c>
    </row>
    <row r="154" spans="1:21" ht="12.75">
      <c r="A154" s="291" t="s">
        <v>146</v>
      </c>
      <c r="B154" s="293">
        <v>143312000</v>
      </c>
      <c r="C154" s="293">
        <v>923768</v>
      </c>
      <c r="D154" s="576"/>
      <c r="E154" s="386">
        <v>174592.152</v>
      </c>
      <c r="F154" s="386">
        <v>112699.696</v>
      </c>
      <c r="G154" s="576"/>
      <c r="H154" s="576"/>
      <c r="I154" s="576"/>
      <c r="J154" s="576"/>
      <c r="K154" s="576"/>
      <c r="L154" s="576"/>
      <c r="M154" s="576"/>
      <c r="N154" s="576"/>
      <c r="Q154" s="293">
        <v>143312000</v>
      </c>
      <c r="R154" s="293">
        <v>923768</v>
      </c>
      <c r="S154" s="576"/>
      <c r="T154" s="386">
        <v>174592.152</v>
      </c>
      <c r="U154" s="386">
        <v>112699.696</v>
      </c>
    </row>
    <row r="155" spans="1:21" ht="12.75">
      <c r="A155" s="291" t="s">
        <v>140</v>
      </c>
      <c r="B155" s="293">
        <v>22454000</v>
      </c>
      <c r="C155" s="293">
        <v>120538</v>
      </c>
      <c r="D155" s="576"/>
      <c r="E155" s="386">
        <v>82086.378</v>
      </c>
      <c r="F155" s="386">
        <v>63041.374</v>
      </c>
      <c r="G155" s="576"/>
      <c r="H155" s="576"/>
      <c r="I155" s="576"/>
      <c r="J155" s="576"/>
      <c r="K155" s="576"/>
      <c r="L155" s="576"/>
      <c r="M155" s="576"/>
      <c r="N155" s="576"/>
      <c r="Q155" s="293">
        <v>22454000</v>
      </c>
      <c r="R155" s="293">
        <v>120538</v>
      </c>
      <c r="S155" s="576"/>
      <c r="T155" s="386">
        <v>82086.378</v>
      </c>
      <c r="U155" s="386">
        <v>63041.374</v>
      </c>
    </row>
    <row r="156" spans="1:21" ht="12.75">
      <c r="A156" s="291" t="s">
        <v>20</v>
      </c>
      <c r="B156" s="293">
        <v>4628000</v>
      </c>
      <c r="C156" s="293">
        <v>386224</v>
      </c>
      <c r="D156" s="576"/>
      <c r="E156" s="386">
        <v>115867.2</v>
      </c>
      <c r="F156" s="386">
        <v>122819.23199999999</v>
      </c>
      <c r="G156" s="576"/>
      <c r="H156" s="576"/>
      <c r="I156" s="576"/>
      <c r="J156" s="576"/>
      <c r="K156" s="576"/>
      <c r="L156" s="576"/>
      <c r="M156" s="576"/>
      <c r="N156" s="576"/>
      <c r="Q156" s="293">
        <v>4628000</v>
      </c>
      <c r="R156" s="293">
        <v>386224</v>
      </c>
      <c r="S156" s="576"/>
      <c r="T156" s="386">
        <v>115867.2</v>
      </c>
      <c r="U156" s="386">
        <v>122819.23199999999</v>
      </c>
    </row>
    <row r="157" spans="1:21" ht="12.75">
      <c r="A157" s="291" t="s">
        <v>197</v>
      </c>
      <c r="B157" s="293">
        <v>3803000</v>
      </c>
      <c r="C157" s="308"/>
      <c r="D157" s="576"/>
      <c r="E157" s="387"/>
      <c r="F157" s="387"/>
      <c r="G157" s="576"/>
      <c r="H157" s="576"/>
      <c r="I157" s="576"/>
      <c r="J157" s="576"/>
      <c r="K157" s="576"/>
      <c r="L157" s="576"/>
      <c r="M157" s="576"/>
      <c r="N157" s="576"/>
      <c r="Q157" s="293"/>
      <c r="R157" s="308"/>
      <c r="S157" s="576"/>
      <c r="T157" s="387"/>
      <c r="U157" s="387"/>
    </row>
    <row r="158" spans="1:21" ht="12.75">
      <c r="A158" s="291" t="s">
        <v>11</v>
      </c>
      <c r="B158" s="293">
        <v>2800000</v>
      </c>
      <c r="C158" s="293">
        <v>309500</v>
      </c>
      <c r="D158" s="576"/>
      <c r="E158" s="386">
        <v>0</v>
      </c>
      <c r="F158" s="386">
        <v>0</v>
      </c>
      <c r="G158" s="576"/>
      <c r="H158" s="576"/>
      <c r="I158" s="576"/>
      <c r="J158" s="576"/>
      <c r="K158" s="576"/>
      <c r="L158" s="576"/>
      <c r="M158" s="576"/>
      <c r="N158" s="576"/>
      <c r="Q158" s="293">
        <v>2800000</v>
      </c>
      <c r="R158" s="293">
        <v>309500</v>
      </c>
      <c r="S158" s="576"/>
      <c r="T158" s="386">
        <v>0</v>
      </c>
      <c r="U158" s="386">
        <v>0</v>
      </c>
    </row>
    <row r="159" spans="1:21" ht="12.75">
      <c r="A159" s="291" t="s">
        <v>120</v>
      </c>
      <c r="B159" s="293">
        <v>175495000</v>
      </c>
      <c r="C159" s="293">
        <v>796095</v>
      </c>
      <c r="D159" s="576"/>
      <c r="E159" s="386">
        <v>26271.135</v>
      </c>
      <c r="F159" s="386">
        <v>19902.375</v>
      </c>
      <c r="G159" s="576"/>
      <c r="H159" s="576"/>
      <c r="I159" s="576"/>
      <c r="J159" s="576"/>
      <c r="K159" s="576"/>
      <c r="L159" s="576"/>
      <c r="M159" s="576"/>
      <c r="N159" s="576"/>
      <c r="Q159" s="293">
        <v>175495000</v>
      </c>
      <c r="R159" s="293">
        <v>796095</v>
      </c>
      <c r="S159" s="576"/>
      <c r="T159" s="386">
        <v>26271.135</v>
      </c>
      <c r="U159" s="386">
        <v>19902.375</v>
      </c>
    </row>
    <row r="160" spans="1:21" ht="12.75">
      <c r="A160" s="291" t="s">
        <v>36</v>
      </c>
      <c r="B160" s="293">
        <v>3258000</v>
      </c>
      <c r="C160" s="293">
        <v>75517</v>
      </c>
      <c r="D160" s="576"/>
      <c r="E160" s="386">
        <v>38438.153</v>
      </c>
      <c r="F160" s="386">
        <v>33605.064999999995</v>
      </c>
      <c r="G160" s="576"/>
      <c r="H160" s="576"/>
      <c r="I160" s="576"/>
      <c r="J160" s="576"/>
      <c r="K160" s="576"/>
      <c r="L160" s="576"/>
      <c r="M160" s="576"/>
      <c r="N160" s="576"/>
      <c r="Q160" s="293">
        <v>3258000</v>
      </c>
      <c r="R160" s="293">
        <v>75517</v>
      </c>
      <c r="S160" s="576"/>
      <c r="T160" s="386">
        <v>38438.153</v>
      </c>
      <c r="U160" s="386">
        <v>33605.064999999995</v>
      </c>
    </row>
    <row r="161" spans="1:21" ht="12.75">
      <c r="A161" s="291" t="s">
        <v>132</v>
      </c>
      <c r="B161" s="293">
        <v>5691000</v>
      </c>
      <c r="C161" s="293">
        <v>462840</v>
      </c>
      <c r="D161" s="576"/>
      <c r="E161" s="386">
        <v>322136.64</v>
      </c>
      <c r="F161" s="386">
        <v>300846</v>
      </c>
      <c r="G161" s="576"/>
      <c r="H161" s="576"/>
      <c r="I161" s="576"/>
      <c r="J161" s="576"/>
      <c r="K161" s="576"/>
      <c r="L161" s="576"/>
      <c r="M161" s="576"/>
      <c r="N161" s="576"/>
      <c r="Q161" s="293">
        <v>5691000</v>
      </c>
      <c r="R161" s="293">
        <v>462840</v>
      </c>
      <c r="S161" s="576"/>
      <c r="T161" s="386">
        <v>322136.64</v>
      </c>
      <c r="U161" s="386">
        <v>300846</v>
      </c>
    </row>
    <row r="162" spans="1:21" ht="12.75">
      <c r="A162" s="291" t="s">
        <v>67</v>
      </c>
      <c r="B162" s="293">
        <v>6113000</v>
      </c>
      <c r="C162" s="293">
        <v>406752</v>
      </c>
      <c r="D162" s="576"/>
      <c r="E162" s="386">
        <v>216798.816</v>
      </c>
      <c r="F162" s="386">
        <v>189139.68</v>
      </c>
      <c r="G162" s="576"/>
      <c r="H162" s="576"/>
      <c r="I162" s="576"/>
      <c r="J162" s="576"/>
      <c r="K162" s="576"/>
      <c r="L162" s="576"/>
      <c r="M162" s="576"/>
      <c r="N162" s="576"/>
      <c r="Q162" s="293">
        <v>6113000</v>
      </c>
      <c r="R162" s="293">
        <v>406752</v>
      </c>
      <c r="S162" s="576"/>
      <c r="T162" s="386">
        <v>216798.816</v>
      </c>
      <c r="U162" s="386">
        <v>189139.68</v>
      </c>
    </row>
    <row r="163" spans="1:21" ht="12.75">
      <c r="A163" s="291" t="s">
        <v>41</v>
      </c>
      <c r="B163" s="293">
        <v>28809000</v>
      </c>
      <c r="C163" s="293">
        <v>1285216</v>
      </c>
      <c r="D163" s="576"/>
      <c r="E163" s="386">
        <v>704298.3679999999</v>
      </c>
      <c r="F163" s="386">
        <v>690160.9920000001</v>
      </c>
      <c r="G163" s="576"/>
      <c r="H163" s="576"/>
      <c r="I163" s="576"/>
      <c r="J163" s="576"/>
      <c r="K163" s="576"/>
      <c r="L163" s="576"/>
      <c r="M163" s="576"/>
      <c r="N163" s="576"/>
      <c r="Q163" s="293">
        <v>28809000</v>
      </c>
      <c r="R163" s="293">
        <v>1285216</v>
      </c>
      <c r="S163" s="576"/>
      <c r="T163" s="386">
        <v>704298.3679999999</v>
      </c>
      <c r="U163" s="386">
        <v>690160.9920000001</v>
      </c>
    </row>
    <row r="164" spans="1:21" ht="12.75">
      <c r="A164" s="291" t="s">
        <v>58</v>
      </c>
      <c r="B164" s="293">
        <v>94157000</v>
      </c>
      <c r="C164" s="293">
        <v>300000</v>
      </c>
      <c r="D164" s="576"/>
      <c r="E164" s="386">
        <v>66000</v>
      </c>
      <c r="F164" s="386">
        <v>74400</v>
      </c>
      <c r="G164" s="576"/>
      <c r="H164" s="576"/>
      <c r="I164" s="576"/>
      <c r="J164" s="576"/>
      <c r="K164" s="576"/>
      <c r="L164" s="576"/>
      <c r="M164" s="576"/>
      <c r="N164" s="576"/>
      <c r="Q164" s="293">
        <v>94157000</v>
      </c>
      <c r="R164" s="293">
        <v>300000</v>
      </c>
      <c r="S164" s="576"/>
      <c r="T164" s="386">
        <v>66000</v>
      </c>
      <c r="U164" s="386">
        <v>74400</v>
      </c>
    </row>
    <row r="165" spans="1:21" ht="12.75">
      <c r="A165" s="291" t="s">
        <v>69</v>
      </c>
      <c r="B165" s="293">
        <v>38518000</v>
      </c>
      <c r="C165" s="293">
        <v>312685</v>
      </c>
      <c r="D165" s="576"/>
      <c r="E165" s="386">
        <v>91429.094</v>
      </c>
      <c r="F165" s="386">
        <v>93930.574</v>
      </c>
      <c r="G165" s="576"/>
      <c r="H165" s="576"/>
      <c r="I165" s="576"/>
      <c r="J165" s="576"/>
      <c r="K165" s="576"/>
      <c r="L165" s="576"/>
      <c r="M165" s="576"/>
      <c r="N165" s="576"/>
      <c r="Q165" s="293">
        <v>38518000</v>
      </c>
      <c r="R165" s="293">
        <v>312685</v>
      </c>
      <c r="S165" s="576"/>
      <c r="T165" s="386">
        <v>91429.094</v>
      </c>
      <c r="U165" s="386">
        <v>93930.574</v>
      </c>
    </row>
    <row r="166" spans="1:21" ht="12.75">
      <c r="A166" s="291" t="s">
        <v>32</v>
      </c>
      <c r="B166" s="293">
        <v>10643000</v>
      </c>
      <c r="C166" s="293">
        <v>92090</v>
      </c>
      <c r="D166" s="576"/>
      <c r="E166" s="386">
        <v>33428.67</v>
      </c>
      <c r="F166" s="386">
        <v>34902.11</v>
      </c>
      <c r="G166" s="576"/>
      <c r="H166" s="576"/>
      <c r="I166" s="576"/>
      <c r="J166" s="576"/>
      <c r="K166" s="576"/>
      <c r="L166" s="576"/>
      <c r="M166" s="576"/>
      <c r="N166" s="576"/>
      <c r="Q166" s="293">
        <v>10643000</v>
      </c>
      <c r="R166" s="293">
        <v>92090</v>
      </c>
      <c r="S166" s="576"/>
      <c r="T166" s="386">
        <v>33428.67</v>
      </c>
      <c r="U166" s="386">
        <v>34902.11</v>
      </c>
    </row>
    <row r="167" spans="1:21" ht="12.75">
      <c r="A167" s="291" t="s">
        <v>12</v>
      </c>
      <c r="B167" s="293">
        <v>815000</v>
      </c>
      <c r="C167" s="293">
        <v>11586</v>
      </c>
      <c r="D167" s="576"/>
      <c r="E167" s="386">
        <v>0</v>
      </c>
      <c r="F167" s="386">
        <v>0</v>
      </c>
      <c r="G167" s="576"/>
      <c r="H167" s="576"/>
      <c r="I167" s="576"/>
      <c r="J167" s="576"/>
      <c r="K167" s="576"/>
      <c r="L167" s="576"/>
      <c r="M167" s="576"/>
      <c r="N167" s="576"/>
      <c r="Q167" s="293">
        <v>815000</v>
      </c>
      <c r="R167" s="293">
        <v>11586</v>
      </c>
      <c r="S167" s="576"/>
      <c r="T167" s="386">
        <v>0</v>
      </c>
      <c r="U167" s="386">
        <v>0</v>
      </c>
    </row>
    <row r="168" spans="1:21" ht="12.75">
      <c r="A168" s="291" t="s">
        <v>172</v>
      </c>
      <c r="B168" s="293">
        <v>766000</v>
      </c>
      <c r="C168" s="293">
        <v>2510</v>
      </c>
      <c r="D168" s="576"/>
      <c r="E168" s="386">
        <v>873.48</v>
      </c>
      <c r="F168" s="386">
        <v>853.4</v>
      </c>
      <c r="G168" s="576"/>
      <c r="H168" s="576"/>
      <c r="I168" s="576"/>
      <c r="J168" s="576"/>
      <c r="K168" s="576"/>
      <c r="L168" s="576"/>
      <c r="M168" s="576"/>
      <c r="N168" s="576"/>
      <c r="Q168" s="293">
        <v>766000</v>
      </c>
      <c r="R168" s="293">
        <v>2510</v>
      </c>
      <c r="S168" s="576"/>
      <c r="T168" s="386">
        <v>873.48</v>
      </c>
      <c r="U168" s="386">
        <v>853.4</v>
      </c>
    </row>
    <row r="169" spans="1:21" ht="12.75">
      <c r="A169" s="291" t="s">
        <v>54</v>
      </c>
      <c r="B169" s="293">
        <v>22106000</v>
      </c>
      <c r="C169" s="293">
        <v>238391</v>
      </c>
      <c r="D169" s="576"/>
      <c r="E169" s="386">
        <v>66034.307</v>
      </c>
      <c r="F169" s="386">
        <v>66272.698</v>
      </c>
      <c r="G169" s="576"/>
      <c r="H169" s="576"/>
      <c r="I169" s="576"/>
      <c r="J169" s="576"/>
      <c r="K169" s="576"/>
      <c r="L169" s="576"/>
      <c r="M169" s="576"/>
      <c r="N169" s="576"/>
      <c r="Q169" s="293">
        <v>22106000</v>
      </c>
      <c r="R169" s="293">
        <v>238391</v>
      </c>
      <c r="S169" s="576"/>
      <c r="T169" s="386">
        <v>66034.307</v>
      </c>
      <c r="U169" s="386">
        <v>66272.698</v>
      </c>
    </row>
    <row r="170" spans="1:21" ht="12.75">
      <c r="A170" s="291" t="s">
        <v>74</v>
      </c>
      <c r="B170" s="293">
        <v>141378000</v>
      </c>
      <c r="C170" s="293">
        <v>17098242</v>
      </c>
      <c r="D170" s="576"/>
      <c r="E170" s="386">
        <v>8446531.548</v>
      </c>
      <c r="F170" s="386">
        <v>8446531.548</v>
      </c>
      <c r="G170" s="576"/>
      <c r="H170" s="576"/>
      <c r="I170" s="576"/>
      <c r="J170" s="576"/>
      <c r="K170" s="576"/>
      <c r="L170" s="576"/>
      <c r="M170" s="576"/>
      <c r="N170" s="576"/>
      <c r="Q170" s="293">
        <v>141378000</v>
      </c>
      <c r="R170" s="293">
        <v>17098242</v>
      </c>
      <c r="S170" s="576"/>
      <c r="T170" s="386">
        <v>8446531.548</v>
      </c>
      <c r="U170" s="386">
        <v>8446531.548</v>
      </c>
    </row>
    <row r="171" spans="1:21" ht="12.75">
      <c r="A171" s="291" t="s">
        <v>129</v>
      </c>
      <c r="B171" s="293">
        <v>10141000</v>
      </c>
      <c r="C171" s="293">
        <v>26338</v>
      </c>
      <c r="D171" s="576"/>
      <c r="E171" s="386">
        <v>3397.602</v>
      </c>
      <c r="F171" s="386">
        <v>4108.728</v>
      </c>
      <c r="G171" s="576"/>
      <c r="H171" s="576"/>
      <c r="I171" s="576"/>
      <c r="J171" s="576"/>
      <c r="K171" s="576"/>
      <c r="L171" s="576"/>
      <c r="M171" s="576"/>
      <c r="N171" s="576"/>
      <c r="Q171" s="293">
        <v>10141000</v>
      </c>
      <c r="R171" s="293">
        <v>26338</v>
      </c>
      <c r="S171" s="576"/>
      <c r="T171" s="386">
        <v>3397.602</v>
      </c>
      <c r="U171" s="386">
        <v>4108.728</v>
      </c>
    </row>
    <row r="172" spans="1:21" ht="12.75">
      <c r="A172" s="291" t="s">
        <v>174</v>
      </c>
      <c r="B172" s="293">
        <v>49000</v>
      </c>
      <c r="C172" s="293">
        <v>261</v>
      </c>
      <c r="D172" s="576"/>
      <c r="E172" s="386">
        <v>110.40299999999999</v>
      </c>
      <c r="F172" s="386">
        <v>110.40299999999999</v>
      </c>
      <c r="G172" s="576"/>
      <c r="H172" s="576"/>
      <c r="I172" s="576"/>
      <c r="J172" s="576"/>
      <c r="K172" s="576"/>
      <c r="L172" s="576"/>
      <c r="M172" s="576"/>
      <c r="N172" s="576"/>
      <c r="Q172" s="293">
        <v>49000</v>
      </c>
      <c r="R172" s="293">
        <v>261</v>
      </c>
      <c r="S172" s="576"/>
      <c r="T172" s="386">
        <v>110.40299999999999</v>
      </c>
      <c r="U172" s="386">
        <v>110.40299999999999</v>
      </c>
    </row>
    <row r="173" spans="1:21" ht="12.75">
      <c r="A173" s="291" t="s">
        <v>175</v>
      </c>
      <c r="B173" s="293">
        <v>159000</v>
      </c>
      <c r="C173" s="293">
        <v>539</v>
      </c>
      <c r="D173" s="576"/>
      <c r="E173" s="386">
        <v>388.61899999999997</v>
      </c>
      <c r="F173" s="386">
        <v>415.03</v>
      </c>
      <c r="G173" s="576"/>
      <c r="H173" s="576"/>
      <c r="I173" s="576"/>
      <c r="J173" s="576"/>
      <c r="K173" s="576"/>
      <c r="L173" s="576"/>
      <c r="M173" s="576"/>
      <c r="N173" s="576"/>
      <c r="Q173" s="293">
        <v>159000</v>
      </c>
      <c r="R173" s="293">
        <v>539</v>
      </c>
      <c r="S173" s="576"/>
      <c r="T173" s="386">
        <v>388.61899999999997</v>
      </c>
      <c r="U173" s="386">
        <v>415.03</v>
      </c>
    </row>
    <row r="174" spans="1:21" ht="12.75">
      <c r="A174" s="291" t="s">
        <v>198</v>
      </c>
      <c r="B174" s="293">
        <v>105000</v>
      </c>
      <c r="C174" s="293">
        <v>389</v>
      </c>
      <c r="D174" s="576"/>
      <c r="E174" s="386">
        <v>249.349</v>
      </c>
      <c r="F174" s="386">
        <v>259.463</v>
      </c>
      <c r="G174" s="576"/>
      <c r="H174" s="576"/>
      <c r="I174" s="576"/>
      <c r="J174" s="576"/>
      <c r="K174" s="576"/>
      <c r="L174" s="576"/>
      <c r="M174" s="576"/>
      <c r="N174" s="576"/>
      <c r="Q174" s="293">
        <v>105000</v>
      </c>
      <c r="R174" s="293">
        <v>389</v>
      </c>
      <c r="S174" s="576"/>
      <c r="T174" s="386">
        <v>249.349</v>
      </c>
      <c r="U174" s="386">
        <v>259.463</v>
      </c>
    </row>
    <row r="175" spans="1:21" ht="12.75">
      <c r="A175" s="291" t="s">
        <v>179</v>
      </c>
      <c r="B175" s="293">
        <v>188000</v>
      </c>
      <c r="C175" s="293">
        <v>2831</v>
      </c>
      <c r="D175" s="576"/>
      <c r="E175" s="386">
        <v>1299.4289999999999</v>
      </c>
      <c r="F175" s="386">
        <v>1709.924</v>
      </c>
      <c r="G175" s="576"/>
      <c r="H175" s="576"/>
      <c r="I175" s="576"/>
      <c r="J175" s="576"/>
      <c r="K175" s="576"/>
      <c r="L175" s="576"/>
      <c r="M175" s="576"/>
      <c r="N175" s="576"/>
      <c r="Q175" s="293">
        <v>188000</v>
      </c>
      <c r="R175" s="293">
        <v>2831</v>
      </c>
      <c r="S175" s="576"/>
      <c r="T175" s="386">
        <v>1299.4289999999999</v>
      </c>
      <c r="U175" s="386">
        <v>1709.924</v>
      </c>
    </row>
    <row r="176" spans="1:21" ht="12.75">
      <c r="A176" s="291" t="s">
        <v>92</v>
      </c>
      <c r="B176" s="293">
        <v>165000</v>
      </c>
      <c r="C176" s="293">
        <v>964</v>
      </c>
      <c r="D176" s="576"/>
      <c r="E176" s="386">
        <v>270.884</v>
      </c>
      <c r="F176" s="386">
        <v>270.884</v>
      </c>
      <c r="G176" s="576"/>
      <c r="H176" s="576"/>
      <c r="I176" s="576"/>
      <c r="J176" s="576"/>
      <c r="K176" s="576"/>
      <c r="L176" s="576"/>
      <c r="M176" s="576"/>
      <c r="N176" s="576"/>
      <c r="Q176" s="293">
        <v>165000</v>
      </c>
      <c r="R176" s="293">
        <v>964</v>
      </c>
      <c r="S176" s="576"/>
      <c r="T176" s="386">
        <v>270.884</v>
      </c>
      <c r="U176" s="386">
        <v>270.884</v>
      </c>
    </row>
    <row r="177" spans="1:21" ht="12.75">
      <c r="A177" s="291" t="s">
        <v>99</v>
      </c>
      <c r="B177" s="293">
        <v>24499000</v>
      </c>
      <c r="C177" s="293">
        <v>2000000</v>
      </c>
      <c r="D177" s="576"/>
      <c r="E177" s="386">
        <v>10000</v>
      </c>
      <c r="F177" s="386">
        <v>10000</v>
      </c>
      <c r="G177" s="576"/>
      <c r="H177" s="576"/>
      <c r="I177" s="576"/>
      <c r="J177" s="576"/>
      <c r="K177" s="576"/>
      <c r="L177" s="576"/>
      <c r="M177" s="576"/>
      <c r="N177" s="576"/>
      <c r="Q177" s="293">
        <v>24499000</v>
      </c>
      <c r="R177" s="293">
        <v>2000000</v>
      </c>
      <c r="S177" s="576"/>
      <c r="T177" s="386">
        <v>10000</v>
      </c>
      <c r="U177" s="386">
        <v>10000</v>
      </c>
    </row>
    <row r="178" spans="1:21" ht="12.75">
      <c r="A178" s="291" t="s">
        <v>137</v>
      </c>
      <c r="B178" s="293">
        <v>11394000</v>
      </c>
      <c r="C178" s="293">
        <v>196722</v>
      </c>
      <c r="D178" s="576"/>
      <c r="E178" s="386">
        <v>95606.892</v>
      </c>
      <c r="F178" s="386">
        <v>88524.9</v>
      </c>
      <c r="G178" s="576"/>
      <c r="H178" s="576"/>
      <c r="I178" s="576"/>
      <c r="J178" s="576"/>
      <c r="K178" s="576"/>
      <c r="L178" s="576"/>
      <c r="M178" s="576"/>
      <c r="N178" s="576"/>
      <c r="Q178" s="293">
        <v>11394000</v>
      </c>
      <c r="R178" s="293">
        <v>196722</v>
      </c>
      <c r="S178" s="576"/>
      <c r="T178" s="386">
        <v>95606.892</v>
      </c>
      <c r="U178" s="386">
        <v>88524.9</v>
      </c>
    </row>
    <row r="179" spans="1:21" ht="12.75">
      <c r="A179" s="290" t="s">
        <v>238</v>
      </c>
      <c r="B179" s="293">
        <v>9233000</v>
      </c>
      <c r="C179" s="293">
        <v>91286</v>
      </c>
      <c r="D179" s="576"/>
      <c r="E179" s="386">
        <v>24099.504</v>
      </c>
      <c r="F179" s="386">
        <v>25833.938000000002</v>
      </c>
      <c r="G179" s="576"/>
      <c r="H179" s="576"/>
      <c r="I179" s="576"/>
      <c r="J179" s="576"/>
      <c r="K179" s="576"/>
      <c r="L179" s="576"/>
      <c r="M179" s="576"/>
      <c r="N179" s="576"/>
      <c r="Q179" s="293">
        <v>9233000</v>
      </c>
      <c r="R179" s="293">
        <v>91286</v>
      </c>
      <c r="S179" s="576"/>
      <c r="T179" s="386">
        <v>24099.504</v>
      </c>
      <c r="U179" s="386">
        <v>25833.938000000002</v>
      </c>
    </row>
    <row r="180" spans="1:21" ht="12.75">
      <c r="A180" s="291" t="s">
        <v>166</v>
      </c>
      <c r="B180" s="293">
        <v>86000</v>
      </c>
      <c r="C180" s="293">
        <v>455</v>
      </c>
      <c r="D180" s="576"/>
      <c r="E180" s="386">
        <v>405.405</v>
      </c>
      <c r="F180" s="386">
        <v>405.405</v>
      </c>
      <c r="G180" s="576"/>
      <c r="H180" s="576"/>
      <c r="I180" s="576"/>
      <c r="J180" s="576"/>
      <c r="K180" s="576"/>
      <c r="L180" s="576"/>
      <c r="M180" s="576"/>
      <c r="N180" s="576"/>
      <c r="Q180" s="293">
        <v>86000</v>
      </c>
      <c r="R180" s="293">
        <v>455</v>
      </c>
      <c r="S180" s="576"/>
      <c r="T180" s="386">
        <v>405.405</v>
      </c>
      <c r="U180" s="386">
        <v>405.405</v>
      </c>
    </row>
    <row r="181" spans="1:21" ht="12.75">
      <c r="A181" s="291" t="s">
        <v>155</v>
      </c>
      <c r="B181" s="293">
        <v>4918000</v>
      </c>
      <c r="C181" s="293">
        <v>71740</v>
      </c>
      <c r="D181" s="576"/>
      <c r="E181" s="386">
        <v>31206.9</v>
      </c>
      <c r="F181" s="386">
        <v>28265.56</v>
      </c>
      <c r="G181" s="576"/>
      <c r="H181" s="576"/>
      <c r="I181" s="576"/>
      <c r="J181" s="576"/>
      <c r="K181" s="576"/>
      <c r="L181" s="576"/>
      <c r="M181" s="576"/>
      <c r="N181" s="576"/>
      <c r="Q181" s="293">
        <v>4918000</v>
      </c>
      <c r="R181" s="293">
        <v>71740</v>
      </c>
      <c r="S181" s="576"/>
      <c r="T181" s="386">
        <v>31206.9</v>
      </c>
      <c r="U181" s="386">
        <v>28265.56</v>
      </c>
    </row>
    <row r="182" spans="1:21" ht="12.75">
      <c r="A182" s="291" t="s">
        <v>13</v>
      </c>
      <c r="B182" s="293">
        <v>4553000</v>
      </c>
      <c r="C182" s="293">
        <v>699</v>
      </c>
      <c r="D182" s="576"/>
      <c r="E182" s="386">
        <v>20.271</v>
      </c>
      <c r="F182" s="386">
        <v>20.271</v>
      </c>
      <c r="G182" s="576"/>
      <c r="H182" s="576"/>
      <c r="I182" s="576"/>
      <c r="J182" s="576"/>
      <c r="K182" s="576"/>
      <c r="L182" s="576"/>
      <c r="M182" s="576"/>
      <c r="N182" s="576"/>
      <c r="Q182" s="293">
        <v>4553000</v>
      </c>
      <c r="R182" s="293">
        <v>699</v>
      </c>
      <c r="S182" s="576"/>
      <c r="T182" s="386">
        <v>20.271</v>
      </c>
      <c r="U182" s="386">
        <v>20.271</v>
      </c>
    </row>
    <row r="183" spans="1:21" ht="12.75">
      <c r="A183" s="291" t="s">
        <v>27</v>
      </c>
      <c r="B183" s="293">
        <v>5448000</v>
      </c>
      <c r="C183" s="293">
        <v>49035</v>
      </c>
      <c r="D183" s="576"/>
      <c r="E183" s="386">
        <v>19614</v>
      </c>
      <c r="F183" s="386">
        <v>19712.07</v>
      </c>
      <c r="G183" s="576"/>
      <c r="H183" s="576"/>
      <c r="I183" s="576"/>
      <c r="J183" s="576"/>
      <c r="K183" s="576"/>
      <c r="L183" s="576"/>
      <c r="M183" s="576"/>
      <c r="N183" s="576"/>
      <c r="Q183" s="293">
        <v>5448000</v>
      </c>
      <c r="R183" s="293">
        <v>49035</v>
      </c>
      <c r="S183" s="576"/>
      <c r="T183" s="386">
        <v>19614</v>
      </c>
      <c r="U183" s="386">
        <v>19712.07</v>
      </c>
    </row>
    <row r="184" spans="1:21" ht="12.75">
      <c r="A184" s="291" t="s">
        <v>62</v>
      </c>
      <c r="B184" s="293">
        <v>2009000</v>
      </c>
      <c r="C184" s="293">
        <v>20273</v>
      </c>
      <c r="D184" s="576"/>
      <c r="E184" s="386">
        <v>11961.07</v>
      </c>
      <c r="F184" s="386">
        <v>12508.441</v>
      </c>
      <c r="G184" s="576"/>
      <c r="H184" s="576"/>
      <c r="I184" s="576"/>
      <c r="J184" s="576"/>
      <c r="K184" s="576"/>
      <c r="L184" s="576"/>
      <c r="M184" s="576"/>
      <c r="N184" s="576"/>
      <c r="Q184" s="293">
        <v>2009000</v>
      </c>
      <c r="R184" s="293">
        <v>20273</v>
      </c>
      <c r="S184" s="576"/>
      <c r="T184" s="386">
        <v>11961.07</v>
      </c>
      <c r="U184" s="386">
        <v>12508.441</v>
      </c>
    </row>
    <row r="185" spans="1:21" ht="12.75">
      <c r="A185" s="291" t="s">
        <v>111</v>
      </c>
      <c r="B185" s="293">
        <v>521000</v>
      </c>
      <c r="C185" s="293">
        <v>28896</v>
      </c>
      <c r="D185" s="576"/>
      <c r="E185" s="386">
        <v>23983.68</v>
      </c>
      <c r="F185" s="386">
        <v>23145.695999999996</v>
      </c>
      <c r="G185" s="576"/>
      <c r="H185" s="576"/>
      <c r="I185" s="576"/>
      <c r="J185" s="576"/>
      <c r="K185" s="576"/>
      <c r="L185" s="576"/>
      <c r="M185" s="576"/>
      <c r="N185" s="576"/>
      <c r="Q185" s="293">
        <v>521000</v>
      </c>
      <c r="R185" s="293">
        <v>28896</v>
      </c>
      <c r="S185" s="576"/>
      <c r="T185" s="386">
        <v>23983.68</v>
      </c>
      <c r="U185" s="386">
        <v>23145.695999999996</v>
      </c>
    </row>
    <row r="186" spans="1:21" ht="12.75">
      <c r="A186" s="291" t="s">
        <v>188</v>
      </c>
      <c r="B186" s="293">
        <v>9292000</v>
      </c>
      <c r="C186" s="293">
        <v>637657</v>
      </c>
      <c r="D186" s="576"/>
      <c r="E186" s="386">
        <v>84170.72399999999</v>
      </c>
      <c r="F186" s="386">
        <v>72692.898</v>
      </c>
      <c r="G186" s="576"/>
      <c r="H186" s="576"/>
      <c r="I186" s="576"/>
      <c r="J186" s="576"/>
      <c r="K186" s="576"/>
      <c r="L186" s="576"/>
      <c r="M186" s="576"/>
      <c r="N186" s="576"/>
      <c r="Q186" s="293">
        <v>9292000</v>
      </c>
      <c r="R186" s="293">
        <v>637657</v>
      </c>
      <c r="S186" s="576"/>
      <c r="T186" s="386">
        <v>84170.72399999999</v>
      </c>
      <c r="U186" s="386">
        <v>72692.898</v>
      </c>
    </row>
    <row r="187" spans="1:21" ht="12.75">
      <c r="A187" s="291" t="s">
        <v>112</v>
      </c>
      <c r="B187" s="293">
        <v>48367000</v>
      </c>
      <c r="C187" s="293">
        <v>1221037</v>
      </c>
      <c r="D187" s="576"/>
      <c r="E187" s="386">
        <v>92798.812</v>
      </c>
      <c r="F187" s="386">
        <v>92798.812</v>
      </c>
      <c r="G187" s="576"/>
      <c r="H187" s="576"/>
      <c r="I187" s="576"/>
      <c r="J187" s="576"/>
      <c r="K187" s="576"/>
      <c r="L187" s="576"/>
      <c r="M187" s="576"/>
      <c r="N187" s="576"/>
      <c r="Q187" s="293">
        <v>48367000</v>
      </c>
      <c r="R187" s="293">
        <v>1221037</v>
      </c>
      <c r="S187" s="576"/>
      <c r="T187" s="386">
        <v>92798.812</v>
      </c>
      <c r="U187" s="386">
        <v>92798.812</v>
      </c>
    </row>
    <row r="188" spans="1:21" ht="12.75">
      <c r="A188" s="291" t="s">
        <v>95</v>
      </c>
      <c r="B188" s="293">
        <v>48250000</v>
      </c>
      <c r="C188" s="293">
        <v>99678</v>
      </c>
      <c r="D188" s="576"/>
      <c r="E188" s="386">
        <v>64292.31</v>
      </c>
      <c r="F188" s="386">
        <v>63195.852</v>
      </c>
      <c r="G188" s="576"/>
      <c r="H188" s="576"/>
      <c r="I188" s="576"/>
      <c r="J188" s="576"/>
      <c r="K188" s="576"/>
      <c r="L188" s="576"/>
      <c r="M188" s="576"/>
      <c r="N188" s="576"/>
      <c r="Q188" s="293">
        <v>48250000</v>
      </c>
      <c r="R188" s="293">
        <v>99678</v>
      </c>
      <c r="S188" s="576"/>
      <c r="T188" s="386">
        <v>64292.31</v>
      </c>
      <c r="U188" s="386">
        <v>63195.852</v>
      </c>
    </row>
    <row r="189" spans="1:21" ht="12.75">
      <c r="A189" s="291" t="s">
        <v>37</v>
      </c>
      <c r="B189" s="293">
        <v>45212000</v>
      </c>
      <c r="C189" s="293">
        <v>505992</v>
      </c>
      <c r="D189" s="576"/>
      <c r="E189" s="386">
        <v>140159.78399999999</v>
      </c>
      <c r="F189" s="386">
        <v>175073.23200000002</v>
      </c>
      <c r="G189" s="576"/>
      <c r="H189" s="576"/>
      <c r="I189" s="576"/>
      <c r="J189" s="576"/>
      <c r="K189" s="576"/>
      <c r="L189" s="576"/>
      <c r="M189" s="576"/>
      <c r="N189" s="576"/>
      <c r="Q189" s="293">
        <v>45212000</v>
      </c>
      <c r="R189" s="293">
        <v>505992</v>
      </c>
      <c r="S189" s="576"/>
      <c r="T189" s="386">
        <v>140159.78399999999</v>
      </c>
      <c r="U189" s="386">
        <v>175073.23200000002</v>
      </c>
    </row>
    <row r="190" spans="1:21" ht="12.75">
      <c r="A190" s="291" t="s">
        <v>65</v>
      </c>
      <c r="B190" s="293">
        <v>20926000</v>
      </c>
      <c r="C190" s="293">
        <v>65610</v>
      </c>
      <c r="D190" s="576"/>
      <c r="E190" s="386">
        <v>23882.04</v>
      </c>
      <c r="F190" s="386">
        <v>19617.39</v>
      </c>
      <c r="G190" s="576"/>
      <c r="H190" s="576"/>
      <c r="I190" s="576"/>
      <c r="J190" s="576"/>
      <c r="K190" s="576"/>
      <c r="L190" s="576"/>
      <c r="M190" s="576"/>
      <c r="N190" s="576"/>
      <c r="Q190" s="293">
        <v>20926000</v>
      </c>
      <c r="R190" s="293">
        <v>65610</v>
      </c>
      <c r="S190" s="576"/>
      <c r="T190" s="386">
        <v>23882.04</v>
      </c>
      <c r="U190" s="386">
        <v>19617.39</v>
      </c>
    </row>
    <row r="191" spans="1:21" ht="12.75">
      <c r="A191" s="291" t="s">
        <v>124</v>
      </c>
      <c r="B191" s="293">
        <v>40526000</v>
      </c>
      <c r="C191" s="293">
        <v>2505813</v>
      </c>
      <c r="D191" s="576"/>
      <c r="E191" s="386">
        <v>804365.9730000001</v>
      </c>
      <c r="F191" s="386">
        <v>741720.648</v>
      </c>
      <c r="G191" s="576"/>
      <c r="H191" s="576"/>
      <c r="I191" s="576"/>
      <c r="J191" s="576"/>
      <c r="K191" s="576"/>
      <c r="L191" s="576"/>
      <c r="M191" s="576"/>
      <c r="N191" s="576"/>
      <c r="Q191" s="293">
        <v>40526000</v>
      </c>
      <c r="R191" s="293">
        <v>2505813</v>
      </c>
      <c r="S191" s="576"/>
      <c r="T191" s="386">
        <v>804365.9730000001</v>
      </c>
      <c r="U191" s="386">
        <v>741720.648</v>
      </c>
    </row>
    <row r="192" spans="1:21" ht="12.75">
      <c r="A192" s="291" t="s">
        <v>49</v>
      </c>
      <c r="B192" s="293">
        <v>471000</v>
      </c>
      <c r="C192" s="293">
        <v>163820</v>
      </c>
      <c r="D192" s="576"/>
      <c r="E192" s="386">
        <v>155137.54</v>
      </c>
      <c r="F192" s="386">
        <v>155137.54</v>
      </c>
      <c r="G192" s="576"/>
      <c r="H192" s="576"/>
      <c r="I192" s="576"/>
      <c r="J192" s="576"/>
      <c r="K192" s="576"/>
      <c r="L192" s="576"/>
      <c r="M192" s="576"/>
      <c r="N192" s="576"/>
      <c r="Q192" s="293">
        <v>471000</v>
      </c>
      <c r="R192" s="293">
        <v>163820</v>
      </c>
      <c r="S192" s="576"/>
      <c r="T192" s="386">
        <v>155137.54</v>
      </c>
      <c r="U192" s="386">
        <v>155137.54</v>
      </c>
    </row>
    <row r="193" spans="1:21" ht="12.75">
      <c r="A193" s="291" t="s">
        <v>101</v>
      </c>
      <c r="B193" s="293">
        <v>1300000</v>
      </c>
      <c r="C193" s="293">
        <v>17364</v>
      </c>
      <c r="D193" s="576"/>
      <c r="E193" s="386">
        <v>4757.735999999999</v>
      </c>
      <c r="F193" s="386">
        <v>5469.66</v>
      </c>
      <c r="G193" s="576"/>
      <c r="H193" s="576"/>
      <c r="I193" s="576"/>
      <c r="J193" s="576"/>
      <c r="K193" s="576"/>
      <c r="L193" s="576"/>
      <c r="M193" s="576"/>
      <c r="N193" s="576"/>
      <c r="Q193" s="293">
        <v>1300000</v>
      </c>
      <c r="R193" s="293">
        <v>17364</v>
      </c>
      <c r="S193" s="576"/>
      <c r="T193" s="386">
        <v>4757.735999999999</v>
      </c>
      <c r="U193" s="386">
        <v>5469.66</v>
      </c>
    </row>
    <row r="194" spans="1:21" ht="12.75">
      <c r="A194" s="291" t="s">
        <v>19</v>
      </c>
      <c r="B194" s="293">
        <v>9031000</v>
      </c>
      <c r="C194" s="293">
        <v>531796</v>
      </c>
      <c r="D194" s="576"/>
      <c r="E194" s="386">
        <v>353644.34</v>
      </c>
      <c r="F194" s="386">
        <v>365343.852</v>
      </c>
      <c r="G194" s="576"/>
      <c r="H194" s="576"/>
      <c r="I194" s="576"/>
      <c r="J194" s="576"/>
      <c r="K194" s="576"/>
      <c r="L194" s="576"/>
      <c r="M194" s="576"/>
      <c r="N194" s="576"/>
      <c r="Q194" s="293">
        <v>9031000</v>
      </c>
      <c r="R194" s="293">
        <v>531796</v>
      </c>
      <c r="S194" s="576"/>
      <c r="T194" s="386">
        <v>353644.34</v>
      </c>
      <c r="U194" s="386">
        <v>365343.852</v>
      </c>
    </row>
    <row r="195" spans="1:21" ht="12.75">
      <c r="A195" s="291" t="s">
        <v>17</v>
      </c>
      <c r="B195" s="293">
        <v>7589000</v>
      </c>
      <c r="C195" s="293">
        <v>41277</v>
      </c>
      <c r="D195" s="576"/>
      <c r="E195" s="386">
        <v>11887.776</v>
      </c>
      <c r="F195" s="386">
        <v>12548.207999999999</v>
      </c>
      <c r="G195" s="576"/>
      <c r="H195" s="576"/>
      <c r="I195" s="576"/>
      <c r="J195" s="576"/>
      <c r="K195" s="576"/>
      <c r="L195" s="576"/>
      <c r="M195" s="576"/>
      <c r="N195" s="576"/>
      <c r="Q195" s="293">
        <v>7589000</v>
      </c>
      <c r="R195" s="293">
        <v>41277</v>
      </c>
      <c r="S195" s="576"/>
      <c r="T195" s="386">
        <v>11887.776</v>
      </c>
      <c r="U195" s="386">
        <v>12548.207999999999</v>
      </c>
    </row>
    <row r="196" spans="1:21" ht="12.75">
      <c r="A196" s="291" t="s">
        <v>63</v>
      </c>
      <c r="B196" s="293">
        <v>20488000</v>
      </c>
      <c r="C196" s="293">
        <v>185180</v>
      </c>
      <c r="D196" s="576"/>
      <c r="E196" s="386">
        <v>3703.6</v>
      </c>
      <c r="F196" s="386">
        <v>4629.5</v>
      </c>
      <c r="G196" s="576"/>
      <c r="H196" s="576"/>
      <c r="I196" s="576"/>
      <c r="J196" s="576"/>
      <c r="K196" s="576"/>
      <c r="L196" s="576"/>
      <c r="M196" s="576"/>
      <c r="N196" s="576"/>
      <c r="Q196" s="293">
        <v>20488000</v>
      </c>
      <c r="R196" s="293">
        <v>185180</v>
      </c>
      <c r="S196" s="576"/>
      <c r="T196" s="386">
        <v>3703.6</v>
      </c>
      <c r="U196" s="386">
        <v>4629.5</v>
      </c>
    </row>
    <row r="197" spans="1:21" ht="12.75">
      <c r="A197" s="291" t="s">
        <v>192</v>
      </c>
      <c r="B197" s="293">
        <v>22859000</v>
      </c>
      <c r="C197" s="293">
        <v>36188</v>
      </c>
      <c r="D197" s="576"/>
      <c r="E197" s="387"/>
      <c r="F197" s="387"/>
      <c r="G197" s="576"/>
      <c r="H197" s="576"/>
      <c r="I197" s="576"/>
      <c r="J197" s="576"/>
      <c r="K197" s="576"/>
      <c r="L197" s="576"/>
      <c r="M197" s="576"/>
      <c r="N197" s="576"/>
      <c r="Q197" s="293"/>
      <c r="R197" s="293"/>
      <c r="S197" s="576"/>
      <c r="T197" s="387"/>
      <c r="U197" s="387"/>
    </row>
    <row r="198" spans="1:21" ht="12.75">
      <c r="A198" s="291" t="s">
        <v>109</v>
      </c>
      <c r="B198" s="293">
        <v>7077000</v>
      </c>
      <c r="C198" s="293">
        <v>143100</v>
      </c>
      <c r="D198" s="576"/>
      <c r="E198" s="386">
        <v>4149.9</v>
      </c>
      <c r="F198" s="386">
        <v>4149.9</v>
      </c>
      <c r="G198" s="576"/>
      <c r="H198" s="576"/>
      <c r="I198" s="576"/>
      <c r="J198" s="576"/>
      <c r="K198" s="576"/>
      <c r="L198" s="576"/>
      <c r="M198" s="576"/>
      <c r="N198" s="576"/>
      <c r="Q198" s="293">
        <v>7077000</v>
      </c>
      <c r="R198" s="293">
        <v>143100</v>
      </c>
      <c r="S198" s="576"/>
      <c r="T198" s="386">
        <v>4149.9</v>
      </c>
      <c r="U198" s="386">
        <v>4149.9</v>
      </c>
    </row>
    <row r="199" spans="1:21" ht="12.75">
      <c r="A199" s="291" t="s">
        <v>121</v>
      </c>
      <c r="B199" s="293">
        <v>39384000</v>
      </c>
      <c r="C199" s="293">
        <v>945087</v>
      </c>
      <c r="D199" s="576"/>
      <c r="E199" s="386">
        <v>442300.716</v>
      </c>
      <c r="F199" s="386">
        <v>378034.8</v>
      </c>
      <c r="G199" s="576"/>
      <c r="H199" s="576"/>
      <c r="I199" s="576"/>
      <c r="J199" s="576"/>
      <c r="K199" s="576"/>
      <c r="L199" s="576"/>
      <c r="M199" s="576"/>
      <c r="N199" s="576"/>
      <c r="Q199" s="293">
        <v>39384000</v>
      </c>
      <c r="R199" s="293">
        <v>945087</v>
      </c>
      <c r="S199" s="576"/>
      <c r="T199" s="386">
        <v>442300.716</v>
      </c>
      <c r="U199" s="386">
        <v>378034.8</v>
      </c>
    </row>
    <row r="200" spans="1:21" ht="12.75">
      <c r="A200" s="291" t="s">
        <v>72</v>
      </c>
      <c r="B200" s="293">
        <v>65717000</v>
      </c>
      <c r="C200" s="293">
        <v>513120</v>
      </c>
      <c r="D200" s="576"/>
      <c r="E200" s="386">
        <v>196524.96</v>
      </c>
      <c r="F200" s="386">
        <v>189854.4</v>
      </c>
      <c r="G200" s="576"/>
      <c r="H200" s="576"/>
      <c r="I200" s="576"/>
      <c r="J200" s="576"/>
      <c r="K200" s="576"/>
      <c r="L200" s="576"/>
      <c r="M200" s="576"/>
      <c r="N200" s="576"/>
      <c r="Q200" s="293">
        <v>65717000</v>
      </c>
      <c r="R200" s="293">
        <v>513120</v>
      </c>
      <c r="S200" s="576"/>
      <c r="T200" s="386">
        <v>196524.96</v>
      </c>
      <c r="U200" s="386">
        <v>189854.4</v>
      </c>
    </row>
    <row r="201" spans="1:21" ht="12.75">
      <c r="A201" s="291" t="s">
        <v>185</v>
      </c>
      <c r="B201" s="293">
        <v>1086000</v>
      </c>
      <c r="C201" s="293">
        <v>14874</v>
      </c>
      <c r="D201" s="576"/>
      <c r="E201" s="386">
        <v>9668.1</v>
      </c>
      <c r="F201" s="386">
        <v>7987.338000000001</v>
      </c>
      <c r="G201" s="576"/>
      <c r="H201" s="576"/>
      <c r="I201" s="576"/>
      <c r="J201" s="576"/>
      <c r="K201" s="576"/>
      <c r="L201" s="576"/>
      <c r="M201" s="576"/>
      <c r="N201" s="576"/>
      <c r="Q201" s="293">
        <v>1086000</v>
      </c>
      <c r="R201" s="293">
        <v>14874</v>
      </c>
      <c r="S201" s="576"/>
      <c r="T201" s="386">
        <v>9668.1</v>
      </c>
      <c r="U201" s="386">
        <v>7987.338000000001</v>
      </c>
    </row>
    <row r="202" spans="1:21" ht="12.75">
      <c r="A202" s="291" t="s">
        <v>151</v>
      </c>
      <c r="B202" s="293">
        <v>6042000</v>
      </c>
      <c r="C202" s="293">
        <v>56785</v>
      </c>
      <c r="D202" s="576"/>
      <c r="E202" s="386">
        <v>7154.91</v>
      </c>
      <c r="F202" s="386">
        <v>4031.735</v>
      </c>
      <c r="G202" s="576"/>
      <c r="H202" s="576"/>
      <c r="I202" s="576"/>
      <c r="J202" s="576"/>
      <c r="K202" s="576"/>
      <c r="L202" s="576"/>
      <c r="M202" s="576"/>
      <c r="N202" s="576"/>
      <c r="Q202" s="293">
        <v>6042000</v>
      </c>
      <c r="R202" s="293">
        <v>56785</v>
      </c>
      <c r="S202" s="576"/>
      <c r="T202" s="386">
        <v>7154.91</v>
      </c>
      <c r="U202" s="386">
        <v>4031.735</v>
      </c>
    </row>
    <row r="203" spans="1:21" ht="12.75">
      <c r="A203" s="291" t="s">
        <v>178</v>
      </c>
      <c r="B203" s="293">
        <v>117000</v>
      </c>
      <c r="C203" s="293">
        <v>747</v>
      </c>
      <c r="D203" s="576"/>
      <c r="E203" s="386">
        <v>93.375</v>
      </c>
      <c r="F203" s="386">
        <v>93.375</v>
      </c>
      <c r="G203" s="576"/>
      <c r="H203" s="576"/>
      <c r="I203" s="576"/>
      <c r="J203" s="576"/>
      <c r="K203" s="576"/>
      <c r="L203" s="576"/>
      <c r="M203" s="576"/>
      <c r="N203" s="576"/>
      <c r="Q203" s="293">
        <v>117000</v>
      </c>
      <c r="R203" s="293">
        <v>747</v>
      </c>
      <c r="S203" s="576"/>
      <c r="T203" s="386">
        <v>93.375</v>
      </c>
      <c r="U203" s="386">
        <v>93.375</v>
      </c>
    </row>
    <row r="204" spans="1:21" ht="12.75">
      <c r="A204" s="291" t="s">
        <v>103</v>
      </c>
      <c r="B204" s="293">
        <v>1233000</v>
      </c>
      <c r="C204" s="293">
        <v>5130</v>
      </c>
      <c r="D204" s="576"/>
      <c r="E204" s="386">
        <v>2411.1</v>
      </c>
      <c r="F204" s="386">
        <v>2298.24</v>
      </c>
      <c r="G204" s="576"/>
      <c r="H204" s="576"/>
      <c r="I204" s="576"/>
      <c r="J204" s="576"/>
      <c r="K204" s="576"/>
      <c r="L204" s="576"/>
      <c r="M204" s="576"/>
      <c r="N204" s="576"/>
      <c r="Q204" s="293">
        <v>1233000</v>
      </c>
      <c r="R204" s="293">
        <v>5130</v>
      </c>
      <c r="S204" s="576"/>
      <c r="T204" s="386">
        <v>2411.1</v>
      </c>
      <c r="U204" s="386">
        <v>2298.24</v>
      </c>
    </row>
    <row r="205" spans="1:21" ht="12.75">
      <c r="A205" s="291" t="s">
        <v>78</v>
      </c>
      <c r="B205" s="293">
        <v>10281000</v>
      </c>
      <c r="C205" s="293">
        <v>163610</v>
      </c>
      <c r="D205" s="576"/>
      <c r="E205" s="386">
        <v>6708.01</v>
      </c>
      <c r="F205" s="386">
        <v>9652.99</v>
      </c>
      <c r="G205" s="576"/>
      <c r="H205" s="576"/>
      <c r="I205" s="576"/>
      <c r="J205" s="576"/>
      <c r="K205" s="576"/>
      <c r="L205" s="576"/>
      <c r="M205" s="576"/>
      <c r="N205" s="576"/>
      <c r="Q205" s="293">
        <v>10281000</v>
      </c>
      <c r="R205" s="293">
        <v>163610</v>
      </c>
      <c r="S205" s="576"/>
      <c r="T205" s="386">
        <v>6708.01</v>
      </c>
      <c r="U205" s="386">
        <v>9652.99</v>
      </c>
    </row>
    <row r="206" spans="1:21" ht="12.75">
      <c r="A206" s="291" t="s">
        <v>81</v>
      </c>
      <c r="B206" s="293">
        <v>74768000</v>
      </c>
      <c r="C206" s="293">
        <v>783562</v>
      </c>
      <c r="D206" s="576"/>
      <c r="E206" s="386">
        <v>98728.81199999999</v>
      </c>
      <c r="F206" s="386">
        <v>109698.68</v>
      </c>
      <c r="G206" s="576"/>
      <c r="H206" s="576"/>
      <c r="I206" s="576"/>
      <c r="J206" s="576"/>
      <c r="K206" s="576"/>
      <c r="L206" s="576"/>
      <c r="M206" s="576"/>
      <c r="N206" s="576"/>
      <c r="Q206" s="293">
        <v>74768000</v>
      </c>
      <c r="R206" s="293">
        <v>783562</v>
      </c>
      <c r="S206" s="576"/>
      <c r="T206" s="386">
        <v>98728.81199999999</v>
      </c>
      <c r="U206" s="386">
        <v>109698.68</v>
      </c>
    </row>
    <row r="207" spans="1:21" ht="12.75">
      <c r="A207" s="291" t="s">
        <v>14</v>
      </c>
      <c r="B207" s="293">
        <v>4774000</v>
      </c>
      <c r="C207" s="293">
        <v>488100</v>
      </c>
      <c r="D207" s="576"/>
      <c r="E207" s="386">
        <v>42952.8</v>
      </c>
      <c r="F207" s="386">
        <v>42952.8</v>
      </c>
      <c r="G207" s="576"/>
      <c r="H207" s="576"/>
      <c r="I207" s="576"/>
      <c r="J207" s="576"/>
      <c r="K207" s="576"/>
      <c r="L207" s="576"/>
      <c r="M207" s="576"/>
      <c r="N207" s="576"/>
      <c r="Q207" s="293">
        <v>4774000</v>
      </c>
      <c r="R207" s="293">
        <v>488100</v>
      </c>
      <c r="S207" s="576"/>
      <c r="T207" s="386">
        <v>42952.8</v>
      </c>
      <c r="U207" s="386">
        <v>42952.8</v>
      </c>
    </row>
    <row r="208" spans="1:21" ht="12.75">
      <c r="A208" s="291" t="s">
        <v>115</v>
      </c>
      <c r="B208" s="293">
        <v>30263000</v>
      </c>
      <c r="C208" s="293">
        <v>241038</v>
      </c>
      <c r="D208" s="576"/>
      <c r="E208" s="386">
        <v>58090.158</v>
      </c>
      <c r="F208" s="386">
        <v>41940.612</v>
      </c>
      <c r="G208" s="576"/>
      <c r="H208" s="576"/>
      <c r="I208" s="576"/>
      <c r="J208" s="576"/>
      <c r="K208" s="576"/>
      <c r="L208" s="576"/>
      <c r="M208" s="576"/>
      <c r="N208" s="576"/>
      <c r="Q208" s="293">
        <v>30263000</v>
      </c>
      <c r="R208" s="293">
        <v>241038</v>
      </c>
      <c r="S208" s="576"/>
      <c r="T208" s="386">
        <v>58090.158</v>
      </c>
      <c r="U208" s="386">
        <v>41940.612</v>
      </c>
    </row>
    <row r="209" spans="1:21" ht="12.75">
      <c r="A209" s="291" t="s">
        <v>15</v>
      </c>
      <c r="B209" s="293">
        <v>46300000</v>
      </c>
      <c r="C209" s="293">
        <v>603500</v>
      </c>
      <c r="D209" s="576"/>
      <c r="E209" s="386">
        <v>96560</v>
      </c>
      <c r="F209" s="386">
        <v>99577.5</v>
      </c>
      <c r="G209" s="576"/>
      <c r="H209" s="576"/>
      <c r="I209" s="576"/>
      <c r="J209" s="576"/>
      <c r="K209" s="576"/>
      <c r="L209" s="576"/>
      <c r="M209" s="576"/>
      <c r="N209" s="576"/>
      <c r="Q209" s="293">
        <v>46300000</v>
      </c>
      <c r="R209" s="293">
        <v>603500</v>
      </c>
      <c r="S209" s="576"/>
      <c r="T209" s="386">
        <v>96560</v>
      </c>
      <c r="U209" s="386">
        <v>99577.5</v>
      </c>
    </row>
    <row r="210" spans="1:21" ht="12.75">
      <c r="A210" s="291" t="s">
        <v>145</v>
      </c>
      <c r="B210" s="293">
        <v>4444000</v>
      </c>
      <c r="C210" s="293">
        <v>83600</v>
      </c>
      <c r="D210" s="576"/>
      <c r="E210" s="386">
        <v>2424.4</v>
      </c>
      <c r="F210" s="386">
        <v>3093.2</v>
      </c>
      <c r="G210" s="576"/>
      <c r="H210" s="576"/>
      <c r="I210" s="576"/>
      <c r="J210" s="576"/>
      <c r="K210" s="576"/>
      <c r="L210" s="576"/>
      <c r="M210" s="576"/>
      <c r="N210" s="576"/>
      <c r="Q210" s="293">
        <v>4444000</v>
      </c>
      <c r="R210" s="293">
        <v>83600</v>
      </c>
      <c r="S210" s="576"/>
      <c r="T210" s="386">
        <v>2424.4</v>
      </c>
      <c r="U210" s="386">
        <v>3093.2</v>
      </c>
    </row>
    <row r="211" spans="1:21" ht="12.75">
      <c r="A211" s="291" t="s">
        <v>28</v>
      </c>
      <c r="B211" s="293">
        <v>61506000</v>
      </c>
      <c r="C211" s="293">
        <v>242900</v>
      </c>
      <c r="D211" s="576"/>
      <c r="E211" s="386">
        <v>26233.2</v>
      </c>
      <c r="F211" s="386">
        <v>28419.3</v>
      </c>
      <c r="G211" s="576"/>
      <c r="H211" s="576"/>
      <c r="I211" s="576"/>
      <c r="J211" s="576"/>
      <c r="K211" s="576"/>
      <c r="L211" s="576"/>
      <c r="M211" s="576"/>
      <c r="N211" s="576"/>
      <c r="Q211" s="293">
        <v>61506000</v>
      </c>
      <c r="R211" s="293">
        <v>242900</v>
      </c>
      <c r="S211" s="576"/>
      <c r="T211" s="386">
        <v>26233.2</v>
      </c>
      <c r="U211" s="386">
        <v>28419.3</v>
      </c>
    </row>
    <row r="212" spans="1:21" ht="12.75">
      <c r="A212" s="291" t="s">
        <v>287</v>
      </c>
      <c r="B212" s="293">
        <v>301580000</v>
      </c>
      <c r="C212" s="293">
        <v>9629091</v>
      </c>
      <c r="D212" s="576"/>
      <c r="E212" s="386">
        <v>3110196.3929999997</v>
      </c>
      <c r="F212" s="386">
        <v>3177600.03</v>
      </c>
      <c r="G212" s="576"/>
      <c r="H212" s="576"/>
      <c r="I212" s="576"/>
      <c r="J212" s="576"/>
      <c r="K212" s="576"/>
      <c r="L212" s="576"/>
      <c r="M212" s="576"/>
      <c r="N212" s="576"/>
      <c r="Q212" s="293">
        <v>301580000</v>
      </c>
      <c r="R212" s="293">
        <v>9629091</v>
      </c>
      <c r="S212" s="576"/>
      <c r="T212" s="386">
        <v>3110196.3929999997</v>
      </c>
      <c r="U212" s="386">
        <v>3177600.03</v>
      </c>
    </row>
    <row r="213" spans="1:21" ht="12.75">
      <c r="A213" s="291" t="s">
        <v>86</v>
      </c>
      <c r="B213" s="293">
        <v>3461000</v>
      </c>
      <c r="C213" s="293">
        <v>176215</v>
      </c>
      <c r="D213" s="576"/>
      <c r="E213" s="386">
        <v>9339.395</v>
      </c>
      <c r="F213" s="386">
        <v>15330.705</v>
      </c>
      <c r="G213" s="576"/>
      <c r="H213" s="576"/>
      <c r="I213" s="576"/>
      <c r="J213" s="576"/>
      <c r="K213" s="576"/>
      <c r="L213" s="576"/>
      <c r="M213" s="576"/>
      <c r="N213" s="576"/>
      <c r="Q213" s="293">
        <v>3461000</v>
      </c>
      <c r="R213" s="293">
        <v>176215</v>
      </c>
      <c r="S213" s="576"/>
      <c r="T213" s="386">
        <v>9339.395</v>
      </c>
      <c r="U213" s="386">
        <v>15330.705</v>
      </c>
    </row>
    <row r="214" spans="1:21" ht="12.75">
      <c r="A214" s="291" t="s">
        <v>138</v>
      </c>
      <c r="B214" s="293">
        <v>27079000</v>
      </c>
      <c r="C214" s="293">
        <v>447400</v>
      </c>
      <c r="D214" s="576"/>
      <c r="E214" s="386">
        <v>32212.8</v>
      </c>
      <c r="F214" s="386">
        <v>34449.8</v>
      </c>
      <c r="G214" s="576"/>
      <c r="H214" s="576"/>
      <c r="I214" s="576"/>
      <c r="J214" s="576"/>
      <c r="K214" s="576"/>
      <c r="L214" s="576"/>
      <c r="M214" s="576"/>
      <c r="N214" s="576"/>
      <c r="Q214" s="293">
        <v>27079000</v>
      </c>
      <c r="R214" s="293">
        <v>447400</v>
      </c>
      <c r="S214" s="576"/>
      <c r="T214" s="386">
        <v>32212.8</v>
      </c>
      <c r="U214" s="386">
        <v>34449.8</v>
      </c>
    </row>
    <row r="215" spans="1:21" ht="12.75">
      <c r="A215" s="291" t="s">
        <v>182</v>
      </c>
      <c r="B215" s="293">
        <v>212000</v>
      </c>
      <c r="C215" s="293">
        <v>12189</v>
      </c>
      <c r="D215" s="576"/>
      <c r="E215" s="386">
        <v>4400.229</v>
      </c>
      <c r="F215" s="386">
        <v>4400.229</v>
      </c>
      <c r="G215" s="576"/>
      <c r="H215" s="576"/>
      <c r="I215" s="576"/>
      <c r="J215" s="576"/>
      <c r="K215" s="576"/>
      <c r="L215" s="576"/>
      <c r="M215" s="576"/>
      <c r="N215" s="576"/>
      <c r="Q215" s="293">
        <v>212000</v>
      </c>
      <c r="R215" s="293">
        <v>12189</v>
      </c>
      <c r="S215" s="576"/>
      <c r="T215" s="386">
        <v>4400.229</v>
      </c>
      <c r="U215" s="386">
        <v>4400.229</v>
      </c>
    </row>
    <row r="216" spans="1:21" ht="12.75">
      <c r="A216" s="291" t="s">
        <v>70</v>
      </c>
      <c r="B216" s="293">
        <v>26024000</v>
      </c>
      <c r="C216" s="293">
        <v>912050</v>
      </c>
      <c r="D216" s="576"/>
      <c r="E216" s="386">
        <v>538109.5</v>
      </c>
      <c r="F216" s="386">
        <v>493419.05</v>
      </c>
      <c r="G216" s="576"/>
      <c r="H216" s="576"/>
      <c r="I216" s="576"/>
      <c r="J216" s="576"/>
      <c r="K216" s="576"/>
      <c r="L216" s="576"/>
      <c r="M216" s="576"/>
      <c r="N216" s="576"/>
      <c r="Q216" s="293">
        <v>26024000</v>
      </c>
      <c r="R216" s="293">
        <v>912050</v>
      </c>
      <c r="S216" s="576"/>
      <c r="T216" s="386">
        <v>538109.5</v>
      </c>
      <c r="U216" s="386">
        <v>493419.05</v>
      </c>
    </row>
    <row r="217" spans="1:21" ht="12.75">
      <c r="A217" s="291" t="s">
        <v>205</v>
      </c>
      <c r="B217" s="293">
        <v>86519000</v>
      </c>
      <c r="C217" s="293">
        <v>331689</v>
      </c>
      <c r="D217" s="576"/>
      <c r="E217" s="386">
        <v>100170.078</v>
      </c>
      <c r="F217" s="386">
        <v>139972.758</v>
      </c>
      <c r="G217" s="576"/>
      <c r="H217" s="576"/>
      <c r="I217" s="576"/>
      <c r="J217" s="576"/>
      <c r="K217" s="576"/>
      <c r="L217" s="576"/>
      <c r="M217" s="576"/>
      <c r="N217" s="576"/>
      <c r="Q217" s="293">
        <v>86519000</v>
      </c>
      <c r="R217" s="293">
        <v>331689</v>
      </c>
      <c r="S217" s="576"/>
      <c r="T217" s="386">
        <v>100170.078</v>
      </c>
      <c r="U217" s="386">
        <v>139972.758</v>
      </c>
    </row>
    <row r="218" spans="1:21" ht="12.75">
      <c r="A218" s="291" t="s">
        <v>181</v>
      </c>
      <c r="B218" s="293">
        <v>445000</v>
      </c>
      <c r="C218" s="293">
        <v>266000</v>
      </c>
      <c r="D218" s="576"/>
      <c r="E218" s="386">
        <v>7182</v>
      </c>
      <c r="F218" s="386">
        <v>7182</v>
      </c>
      <c r="G218" s="576"/>
      <c r="H218" s="576"/>
      <c r="I218" s="576"/>
      <c r="J218" s="576"/>
      <c r="K218" s="576"/>
      <c r="L218" s="576"/>
      <c r="M218" s="576"/>
      <c r="N218" s="576"/>
      <c r="Q218" s="293">
        <v>445000</v>
      </c>
      <c r="R218" s="293">
        <v>266000</v>
      </c>
      <c r="S218" s="576"/>
      <c r="T218" s="386">
        <v>7182</v>
      </c>
      <c r="U218" s="386">
        <v>7182</v>
      </c>
    </row>
    <row r="219" spans="1:21" ht="12.75">
      <c r="A219" s="291" t="s">
        <v>119</v>
      </c>
      <c r="B219" s="293">
        <v>21591000</v>
      </c>
      <c r="C219" s="293">
        <v>527968</v>
      </c>
      <c r="D219" s="576"/>
      <c r="E219" s="386">
        <v>5279.68</v>
      </c>
      <c r="F219" s="386">
        <v>5279.68</v>
      </c>
      <c r="G219" s="576"/>
      <c r="H219" s="576"/>
      <c r="I219" s="576"/>
      <c r="J219" s="576"/>
      <c r="K219" s="576"/>
      <c r="L219" s="576"/>
      <c r="M219" s="576"/>
      <c r="N219" s="576"/>
      <c r="Q219" s="293">
        <v>21591000</v>
      </c>
      <c r="R219" s="293">
        <v>527968</v>
      </c>
      <c r="S219" s="576"/>
      <c r="T219" s="386">
        <v>5279.68</v>
      </c>
      <c r="U219" s="386">
        <v>5279.68</v>
      </c>
    </row>
    <row r="220" spans="1:21" ht="12.75">
      <c r="A220" s="291" t="s">
        <v>125</v>
      </c>
      <c r="B220" s="293">
        <v>12341000</v>
      </c>
      <c r="C220" s="293">
        <v>752618</v>
      </c>
      <c r="D220" s="576"/>
      <c r="E220" s="386">
        <v>534358.78</v>
      </c>
      <c r="F220" s="386">
        <v>509522.38600000006</v>
      </c>
      <c r="G220" s="576"/>
      <c r="H220" s="576"/>
      <c r="I220" s="576"/>
      <c r="J220" s="576"/>
      <c r="K220" s="576"/>
      <c r="L220" s="576"/>
      <c r="M220" s="576"/>
      <c r="N220" s="576"/>
      <c r="Q220" s="293">
        <v>12341000</v>
      </c>
      <c r="R220" s="293">
        <v>752618</v>
      </c>
      <c r="S220" s="576"/>
      <c r="T220" s="386">
        <v>534358.78</v>
      </c>
      <c r="U220" s="386">
        <v>509522.38600000006</v>
      </c>
    </row>
    <row r="221" spans="1:21" ht="12.75">
      <c r="A221" s="291" t="s">
        <v>122</v>
      </c>
      <c r="B221" s="293">
        <v>11443000</v>
      </c>
      <c r="C221" s="293">
        <v>390757</v>
      </c>
      <c r="D221" s="576"/>
      <c r="E221" s="386">
        <v>223903.761</v>
      </c>
      <c r="F221" s="386">
        <v>174277.622</v>
      </c>
      <c r="G221" s="576"/>
      <c r="H221" s="576"/>
      <c r="I221" s="576"/>
      <c r="J221" s="576"/>
      <c r="K221" s="576"/>
      <c r="L221" s="576"/>
      <c r="M221" s="576"/>
      <c r="N221" s="576"/>
      <c r="Q221" s="293">
        <v>11443000</v>
      </c>
      <c r="R221" s="293">
        <v>390757</v>
      </c>
      <c r="S221" s="576"/>
      <c r="T221" s="386">
        <v>223903.761</v>
      </c>
      <c r="U221" s="386">
        <v>174277.622</v>
      </c>
    </row>
    <row r="222" spans="1:21" ht="12.75">
      <c r="A222" s="291" t="s">
        <v>405</v>
      </c>
      <c r="B222" s="293">
        <v>6449327000</v>
      </c>
      <c r="C222" s="293">
        <v>131087332</v>
      </c>
      <c r="D222" s="576"/>
      <c r="E222" s="293">
        <v>42523865.25809999</v>
      </c>
      <c r="F222" s="293">
        <v>41523870.036099985</v>
      </c>
      <c r="G222" s="576"/>
      <c r="H222" s="576"/>
      <c r="I222" s="576"/>
      <c r="J222" s="576"/>
      <c r="K222" s="576"/>
      <c r="L222" s="576"/>
      <c r="M222" s="576"/>
      <c r="N222" s="576"/>
      <c r="Q222" s="138">
        <f>SUM(Q23:Q221)</f>
        <v>6582147000</v>
      </c>
      <c r="R222" s="138">
        <f>SUM(R23:R221)</f>
        <v>135940972</v>
      </c>
      <c r="S222" s="138"/>
      <c r="T222" s="138">
        <f>SUM(T23:T221)</f>
        <v>43286577.58809998</v>
      </c>
      <c r="U222" s="138">
        <f>SUM(U23:U221)</f>
        <v>42200767.44909999</v>
      </c>
    </row>
    <row r="230" spans="11:15" ht="12.75">
      <c r="K230" s="1"/>
      <c r="L230" s="1"/>
      <c r="O230" s="31"/>
    </row>
    <row r="231" spans="1:15" ht="12.75">
      <c r="A231" s="1"/>
      <c r="B231" s="1"/>
      <c r="C231" s="1"/>
      <c r="D231" s="1"/>
      <c r="E231" s="1"/>
      <c r="F231" s="1"/>
      <c r="G231" s="1"/>
      <c r="H231" s="1"/>
      <c r="I231" s="1"/>
      <c r="J231" s="1"/>
      <c r="K231" s="1"/>
      <c r="L231" s="1"/>
      <c r="O231" s="31"/>
    </row>
    <row r="232" spans="1:15" ht="12.75">
      <c r="A232" s="1"/>
      <c r="B232" s="1"/>
      <c r="C232" s="1"/>
      <c r="D232" s="1"/>
      <c r="E232" s="1"/>
      <c r="F232" s="1"/>
      <c r="G232" s="1"/>
      <c r="H232" s="1"/>
      <c r="I232" s="1"/>
      <c r="J232" s="1"/>
      <c r="O232" s="31"/>
    </row>
    <row r="233" ht="12.75">
      <c r="O233" s="31"/>
    </row>
    <row r="247" spans="1:12" ht="12.75">
      <c r="A247" s="1"/>
      <c r="B247" s="1"/>
      <c r="C247" s="1"/>
      <c r="D247" s="1"/>
      <c r="E247" s="1"/>
      <c r="F247" s="1"/>
      <c r="G247" s="1"/>
      <c r="H247" s="1"/>
      <c r="I247" s="1"/>
      <c r="J247" s="1"/>
      <c r="K247" s="1"/>
      <c r="L247" s="1"/>
    </row>
    <row r="248" spans="1:12" ht="12.75">
      <c r="A248" s="1"/>
      <c r="B248" s="1"/>
      <c r="C248" s="1"/>
      <c r="D248" s="1"/>
      <c r="E248" s="1"/>
      <c r="F248" s="1"/>
      <c r="G248" s="1"/>
      <c r="H248" s="1"/>
      <c r="I248" s="1"/>
      <c r="J248" s="1"/>
      <c r="K248" s="1"/>
      <c r="L248" s="1"/>
    </row>
    <row r="249" spans="1:12" ht="12.75">
      <c r="A249" s="1"/>
      <c r="B249" s="1"/>
      <c r="C249" s="1"/>
      <c r="D249" s="1"/>
      <c r="E249" s="1"/>
      <c r="F249" s="1"/>
      <c r="G249" s="1"/>
      <c r="H249" s="1"/>
      <c r="I249" s="1"/>
      <c r="J249" s="1"/>
      <c r="K249" s="1"/>
      <c r="L249" s="1"/>
    </row>
    <row r="250" spans="1:12" ht="12.75">
      <c r="A250" s="1"/>
      <c r="B250" s="1"/>
      <c r="C250" s="1"/>
      <c r="D250" s="1"/>
      <c r="E250" s="1"/>
      <c r="F250" s="1"/>
      <c r="G250" s="1"/>
      <c r="H250" s="1"/>
      <c r="I250" s="1"/>
      <c r="J250" s="1"/>
      <c r="K250" s="1"/>
      <c r="L250" s="1"/>
    </row>
  </sheetData>
  <sheetProtection/>
  <hyperlinks>
    <hyperlink ref="A3" r:id="rId1" display="Kilder"/>
  </hyperlinks>
  <printOptions/>
  <pageMargins left="0.75" right="0.75" top="1" bottom="1" header="0" footer="0"/>
  <pageSetup horizontalDpi="300" verticalDpi="300" orientation="portrait" paperSize="9" r:id="rId4"/>
  <legacyDrawing r:id="rId3"/>
</worksheet>
</file>

<file path=xl/worksheets/sheet5.xml><?xml version="1.0" encoding="utf-8"?>
<worksheet xmlns="http://schemas.openxmlformats.org/spreadsheetml/2006/main" xmlns:r="http://schemas.openxmlformats.org/officeDocument/2006/relationships">
  <sheetPr>
    <tabColor theme="2" tint="-0.24997000396251678"/>
  </sheetPr>
  <dimension ref="A1:T233"/>
  <sheetViews>
    <sheetView zoomScalePageLayoutView="0" workbookViewId="0" topLeftCell="A1">
      <selection activeCell="A2" sqref="A2:C2"/>
    </sheetView>
  </sheetViews>
  <sheetFormatPr defaultColWidth="9.140625" defaultRowHeight="12.75"/>
  <cols>
    <col min="1" max="1" width="5.7109375" style="0" customWidth="1"/>
    <col min="2" max="2" width="20.57421875" style="0" customWidth="1"/>
    <col min="5" max="5" width="9.140625" style="0" customWidth="1"/>
    <col min="15" max="15" width="14.57421875" style="0" customWidth="1"/>
    <col min="21" max="21" width="12.140625" style="0" customWidth="1"/>
    <col min="22" max="22" width="12.57421875" style="0" customWidth="1"/>
    <col min="23" max="23" width="16.28125" style="0" customWidth="1"/>
  </cols>
  <sheetData>
    <row r="1" spans="1:19" ht="12.75">
      <c r="A1" s="115" t="s">
        <v>433</v>
      </c>
      <c r="K1" s="654"/>
      <c r="L1" s="597"/>
      <c r="M1" s="597"/>
      <c r="N1" s="597"/>
      <c r="O1" s="597"/>
      <c r="P1" s="597"/>
      <c r="Q1" s="597"/>
      <c r="R1" s="597"/>
      <c r="S1" s="597"/>
    </row>
    <row r="2" spans="1:20" ht="12.75">
      <c r="A2" s="314" t="s">
        <v>425</v>
      </c>
      <c r="C2" s="1"/>
      <c r="K2" s="654"/>
      <c r="L2" s="556"/>
      <c r="M2" s="556"/>
      <c r="N2" s="556"/>
      <c r="O2" s="556"/>
      <c r="P2" s="556"/>
      <c r="Q2" s="556"/>
      <c r="R2" s="556"/>
      <c r="S2" s="556"/>
      <c r="T2" s="556"/>
    </row>
    <row r="3" spans="1:20" ht="12.75">
      <c r="A3" s="336" t="s">
        <v>203</v>
      </c>
      <c r="K3" s="654"/>
      <c r="L3" s="556"/>
      <c r="M3" s="556"/>
      <c r="N3" s="556"/>
      <c r="O3" s="556"/>
      <c r="P3" s="556"/>
      <c r="Q3" s="556"/>
      <c r="R3" s="556"/>
      <c r="S3" s="556"/>
      <c r="T3" s="556"/>
    </row>
    <row r="4" spans="11:20" ht="12.75">
      <c r="K4" s="654"/>
      <c r="L4" s="556"/>
      <c r="M4" s="556"/>
      <c r="N4" s="556"/>
      <c r="O4" s="556"/>
      <c r="P4" s="556"/>
      <c r="Q4" s="556"/>
      <c r="R4" s="556"/>
      <c r="S4" s="556"/>
      <c r="T4" s="556"/>
    </row>
    <row r="5" spans="11:20" ht="12.75">
      <c r="K5" s="654"/>
      <c r="L5" s="556"/>
      <c r="M5" s="556"/>
      <c r="N5" s="556"/>
      <c r="O5" s="556"/>
      <c r="P5" s="556"/>
      <c r="Q5" s="556"/>
      <c r="R5" s="556"/>
      <c r="S5" s="556"/>
      <c r="T5" s="556"/>
    </row>
    <row r="6" spans="11:20" ht="12.75">
      <c r="K6" s="654"/>
      <c r="L6" s="598"/>
      <c r="M6" s="599"/>
      <c r="N6" s="599"/>
      <c r="O6" s="599"/>
      <c r="P6" s="599"/>
      <c r="Q6" s="599"/>
      <c r="R6" s="599"/>
      <c r="S6" s="599"/>
      <c r="T6" s="556"/>
    </row>
    <row r="7" spans="2:20" ht="12.75">
      <c r="B7" s="321" t="s">
        <v>187</v>
      </c>
      <c r="C7" s="349"/>
      <c r="D7" s="322"/>
      <c r="E7" s="306"/>
      <c r="F7" s="695"/>
      <c r="K7" s="654"/>
      <c r="L7" s="600"/>
      <c r="M7" s="574"/>
      <c r="N7" s="574"/>
      <c r="O7" s="574"/>
      <c r="P7" s="598"/>
      <c r="Q7" s="598"/>
      <c r="R7" s="598"/>
      <c r="S7" s="598"/>
      <c r="T7" s="556"/>
    </row>
    <row r="8" spans="2:20" ht="12.75">
      <c r="B8" s="323" t="s">
        <v>35</v>
      </c>
      <c r="C8" s="344">
        <v>68.9</v>
      </c>
      <c r="D8" s="295">
        <v>84</v>
      </c>
      <c r="E8" s="294"/>
      <c r="F8" s="695">
        <f aca="true" t="shared" si="0" ref="F8:F13">SUM(C8:E8)/2</f>
        <v>76.45</v>
      </c>
      <c r="K8" s="654"/>
      <c r="L8" s="600"/>
      <c r="M8" s="574"/>
      <c r="N8" s="574"/>
      <c r="O8" s="574"/>
      <c r="P8" s="598"/>
      <c r="Q8" s="598"/>
      <c r="R8" s="598"/>
      <c r="S8" s="598"/>
      <c r="T8" s="556"/>
    </row>
    <row r="9" spans="2:20" ht="12.75">
      <c r="B9" s="323" t="s">
        <v>51</v>
      </c>
      <c r="C9" s="344">
        <v>66.2</v>
      </c>
      <c r="D9" s="295">
        <v>77</v>
      </c>
      <c r="E9" s="294"/>
      <c r="F9" s="695">
        <f t="shared" si="0"/>
        <v>71.6</v>
      </c>
      <c r="I9" s="346"/>
      <c r="K9" s="654"/>
      <c r="L9" s="556"/>
      <c r="M9" s="556"/>
      <c r="N9" s="556"/>
      <c r="O9" s="556"/>
      <c r="P9" s="556"/>
      <c r="Q9" s="556"/>
      <c r="R9" s="556"/>
      <c r="S9" s="556"/>
      <c r="T9" s="556"/>
    </row>
    <row r="10" spans="2:20" ht="12.75">
      <c r="B10" s="323" t="s">
        <v>152</v>
      </c>
      <c r="C10" s="344">
        <v>39.3</v>
      </c>
      <c r="D10" s="295">
        <v>39.5</v>
      </c>
      <c r="E10" s="294"/>
      <c r="F10" s="695">
        <f t="shared" si="0"/>
        <v>39.4</v>
      </c>
      <c r="K10" s="654"/>
      <c r="L10" s="556"/>
      <c r="M10" s="556"/>
      <c r="N10" s="556"/>
      <c r="O10" s="556"/>
      <c r="P10" s="556"/>
      <c r="Q10" s="556"/>
      <c r="R10" s="556"/>
      <c r="S10" s="556"/>
      <c r="T10" s="556"/>
    </row>
    <row r="11" spans="2:20" ht="12.75">
      <c r="B11" s="323" t="s">
        <v>39</v>
      </c>
      <c r="C11" s="351">
        <v>77.00854498496065</v>
      </c>
      <c r="D11" s="351">
        <v>85.73182280985966</v>
      </c>
      <c r="E11" s="294"/>
      <c r="F11" s="695">
        <f t="shared" si="0"/>
        <v>81.37018389741016</v>
      </c>
      <c r="K11" s="654"/>
      <c r="L11" s="556"/>
      <c r="M11" s="556"/>
      <c r="N11" s="556"/>
      <c r="O11" s="556"/>
      <c r="P11" s="556"/>
      <c r="Q11" s="556"/>
      <c r="R11" s="556"/>
      <c r="S11" s="556"/>
      <c r="T11" s="556"/>
    </row>
    <row r="12" spans="2:20" ht="12.75">
      <c r="B12" s="323" t="s">
        <v>75</v>
      </c>
      <c r="C12" s="344">
        <v>77.7</v>
      </c>
      <c r="D12" s="295">
        <v>81.8</v>
      </c>
      <c r="E12" s="294"/>
      <c r="F12" s="695">
        <f t="shared" si="0"/>
        <v>79.75</v>
      </c>
      <c r="K12" s="654"/>
      <c r="L12" s="556"/>
      <c r="M12" s="556"/>
      <c r="N12" s="556"/>
      <c r="O12" s="556"/>
      <c r="P12" s="556"/>
      <c r="Q12" s="556"/>
      <c r="R12" s="556"/>
      <c r="S12" s="556"/>
      <c r="T12" s="556"/>
    </row>
    <row r="13" spans="2:20" ht="12.75">
      <c r="B13" s="323" t="s">
        <v>80</v>
      </c>
      <c r="C13" s="344">
        <v>63.8</v>
      </c>
      <c r="D13" s="295">
        <v>77.8</v>
      </c>
      <c r="E13" s="294"/>
      <c r="F13" s="695">
        <f t="shared" si="0"/>
        <v>70.8</v>
      </c>
      <c r="K13" s="654"/>
      <c r="L13" s="556"/>
      <c r="M13" s="556"/>
      <c r="N13" s="556"/>
      <c r="O13" s="556"/>
      <c r="P13" s="556"/>
      <c r="Q13" s="556"/>
      <c r="R13" s="556"/>
      <c r="S13" s="556"/>
      <c r="T13" s="556"/>
    </row>
    <row r="14" spans="2:11" ht="12.75">
      <c r="B14" s="321" t="s">
        <v>160</v>
      </c>
      <c r="C14" s="349"/>
      <c r="D14" s="306"/>
      <c r="E14" s="305"/>
      <c r="F14" s="695"/>
      <c r="K14" s="654"/>
    </row>
    <row r="15" spans="2:11" ht="12.75">
      <c r="B15" s="323" t="s">
        <v>59</v>
      </c>
      <c r="C15" s="344">
        <v>80.1</v>
      </c>
      <c r="D15" s="295">
        <v>79.8</v>
      </c>
      <c r="E15" s="294"/>
      <c r="F15" s="695">
        <f aca="true" t="shared" si="1" ref="F15:F77">SUM(C15:E15)/2</f>
        <v>79.94999999999999</v>
      </c>
      <c r="K15" s="654"/>
    </row>
    <row r="16" spans="2:11" ht="12.75">
      <c r="B16" s="323" t="s">
        <v>23</v>
      </c>
      <c r="C16" s="344">
        <v>85.2</v>
      </c>
      <c r="D16" s="295">
        <v>89.4</v>
      </c>
      <c r="E16" s="294"/>
      <c r="F16" s="695">
        <f t="shared" si="1"/>
        <v>87.30000000000001</v>
      </c>
      <c r="K16" s="654"/>
    </row>
    <row r="17" spans="2:11" ht="12.75">
      <c r="B17" s="323" t="s">
        <v>87</v>
      </c>
      <c r="C17" s="344">
        <v>55.7</v>
      </c>
      <c r="D17" s="295">
        <v>72.2</v>
      </c>
      <c r="E17" s="294"/>
      <c r="F17" s="695">
        <f t="shared" si="1"/>
        <v>63.95</v>
      </c>
      <c r="K17" s="654"/>
    </row>
    <row r="18" spans="2:11" ht="12.75">
      <c r="B18" s="321" t="s">
        <v>167</v>
      </c>
      <c r="C18" s="349"/>
      <c r="D18" s="306"/>
      <c r="E18" s="305"/>
      <c r="F18" s="695"/>
      <c r="K18" s="654"/>
    </row>
    <row r="19" spans="2:11" ht="12.75">
      <c r="B19" s="323" t="s">
        <v>0</v>
      </c>
      <c r="C19" s="351">
        <v>46.33751990499065</v>
      </c>
      <c r="D19" s="351">
        <v>51.586483639170574</v>
      </c>
      <c r="E19" s="294"/>
      <c r="F19" s="695">
        <f t="shared" si="1"/>
        <v>48.96200177208061</v>
      </c>
      <c r="K19" s="654"/>
    </row>
    <row r="20" spans="2:11" ht="12.75">
      <c r="B20" s="323" t="s">
        <v>133</v>
      </c>
      <c r="C20" s="344">
        <v>43.5</v>
      </c>
      <c r="D20" s="295">
        <v>58</v>
      </c>
      <c r="E20" s="294"/>
      <c r="F20" s="695">
        <f t="shared" si="1"/>
        <v>50.75</v>
      </c>
      <c r="K20" s="654"/>
    </row>
    <row r="21" spans="2:11" ht="12.75">
      <c r="B21" s="321" t="s">
        <v>170</v>
      </c>
      <c r="C21" s="349"/>
      <c r="D21" s="306"/>
      <c r="E21" s="305"/>
      <c r="F21" s="695"/>
      <c r="K21" s="654"/>
    </row>
    <row r="22" spans="2:11" ht="12.75">
      <c r="B22" s="323" t="s">
        <v>61</v>
      </c>
      <c r="C22" s="351">
        <v>72.30906410374828</v>
      </c>
      <c r="D22" s="295">
        <v>80.5</v>
      </c>
      <c r="E22" s="294"/>
      <c r="F22" s="695">
        <f t="shared" si="1"/>
        <v>76.40453205187414</v>
      </c>
      <c r="K22" s="654"/>
    </row>
    <row r="23" spans="2:11" ht="12.75">
      <c r="B23" s="323" t="s">
        <v>89</v>
      </c>
      <c r="C23" s="344">
        <v>75.9</v>
      </c>
      <c r="D23" s="295">
        <v>78.4</v>
      </c>
      <c r="E23" s="294"/>
      <c r="F23" s="695">
        <f t="shared" si="1"/>
        <v>77.15</v>
      </c>
      <c r="K23" s="654"/>
    </row>
    <row r="24" spans="2:11" ht="12.75">
      <c r="B24" s="323" t="s">
        <v>38</v>
      </c>
      <c r="C24" s="351">
        <v>64.40447076072984</v>
      </c>
      <c r="D24" s="295">
        <v>71.7</v>
      </c>
      <c r="E24" s="294"/>
      <c r="F24" s="695">
        <f t="shared" si="1"/>
        <v>68.05223538036492</v>
      </c>
      <c r="K24" s="654"/>
    </row>
    <row r="25" spans="2:11" ht="12.75">
      <c r="B25" s="323" t="s">
        <v>147</v>
      </c>
      <c r="C25" s="344">
        <v>58.4</v>
      </c>
      <c r="D25" s="295">
        <v>56.1</v>
      </c>
      <c r="E25" s="294"/>
      <c r="F25" s="695">
        <f t="shared" si="1"/>
        <v>57.25</v>
      </c>
      <c r="K25" s="654"/>
    </row>
    <row r="26" spans="2:11" ht="12.75">
      <c r="B26" s="321" t="s">
        <v>165</v>
      </c>
      <c r="C26" s="349"/>
      <c r="D26" s="306"/>
      <c r="E26" s="305"/>
      <c r="F26" s="695"/>
      <c r="K26" s="654"/>
    </row>
    <row r="27" spans="2:11" ht="12.75">
      <c r="B27" s="323" t="s">
        <v>50</v>
      </c>
      <c r="C27" s="351">
        <v>75.02265127474676</v>
      </c>
      <c r="D27" s="351">
        <v>83.52097351103806</v>
      </c>
      <c r="E27" s="294"/>
      <c r="F27" s="695">
        <f t="shared" si="1"/>
        <v>79.27181239289241</v>
      </c>
      <c r="I27" s="330"/>
      <c r="J27" s="31"/>
      <c r="K27" s="655"/>
    </row>
    <row r="28" spans="2:11" ht="12.75">
      <c r="B28" s="323" t="s">
        <v>131</v>
      </c>
      <c r="C28" s="351">
        <v>58.11672605605608</v>
      </c>
      <c r="D28" s="295">
        <v>64.7</v>
      </c>
      <c r="E28" s="294"/>
      <c r="F28" s="695">
        <f t="shared" si="1"/>
        <v>61.40836302802804</v>
      </c>
      <c r="I28" s="31"/>
      <c r="J28" s="31"/>
      <c r="K28" s="655"/>
    </row>
    <row r="29" spans="2:11" ht="12.75">
      <c r="B29" s="323" t="s">
        <v>1</v>
      </c>
      <c r="C29" s="351">
        <v>71.59046470892842</v>
      </c>
      <c r="D29" s="295">
        <v>79.7</v>
      </c>
      <c r="E29" s="294"/>
      <c r="F29" s="695">
        <f t="shared" si="1"/>
        <v>75.64523235446421</v>
      </c>
      <c r="I29" s="31"/>
      <c r="J29" s="31"/>
      <c r="K29" s="655"/>
    </row>
    <row r="30" spans="2:11" ht="12.75">
      <c r="B30" s="323" t="s">
        <v>142</v>
      </c>
      <c r="C30" s="351">
        <v>61.709723030155374</v>
      </c>
      <c r="D30" s="295">
        <v>68.7</v>
      </c>
      <c r="E30" s="294"/>
      <c r="F30" s="695">
        <f t="shared" si="1"/>
        <v>65.20486151507768</v>
      </c>
      <c r="K30" s="654"/>
    </row>
    <row r="31" spans="2:11" ht="12.75">
      <c r="B31" s="323" t="s">
        <v>68</v>
      </c>
      <c r="C31" s="344">
        <v>77</v>
      </c>
      <c r="D31" s="295">
        <v>82.7</v>
      </c>
      <c r="E31" s="294"/>
      <c r="F31" s="695">
        <f t="shared" si="1"/>
        <v>79.85</v>
      </c>
      <c r="K31" s="654"/>
    </row>
    <row r="32" spans="2:6" ht="12.75">
      <c r="B32" s="323" t="s">
        <v>269</v>
      </c>
      <c r="C32" s="351">
        <v>67.07907643389123</v>
      </c>
      <c r="D32" s="351">
        <v>74.6775763157517</v>
      </c>
      <c r="E32" s="294"/>
      <c r="F32" s="695">
        <f t="shared" si="1"/>
        <v>70.87832637482146</v>
      </c>
    </row>
    <row r="33" spans="2:6" ht="12.75">
      <c r="B33" s="323" t="s">
        <v>71</v>
      </c>
      <c r="C33" s="344">
        <v>72</v>
      </c>
      <c r="D33" s="295">
        <v>78.5</v>
      </c>
      <c r="E33" s="294"/>
      <c r="F33" s="695">
        <f t="shared" si="1"/>
        <v>75.25</v>
      </c>
    </row>
    <row r="34" spans="2:6" ht="12.75">
      <c r="B34" s="323" t="s">
        <v>123</v>
      </c>
      <c r="C34" s="344">
        <v>43.2</v>
      </c>
      <c r="D34" s="295">
        <v>44.3</v>
      </c>
      <c r="E34" s="294"/>
      <c r="F34" s="695">
        <f t="shared" si="1"/>
        <v>43.75</v>
      </c>
    </row>
    <row r="35" spans="2:6" ht="12.75">
      <c r="B35" s="323" t="s">
        <v>134</v>
      </c>
      <c r="C35" s="344">
        <v>51.6</v>
      </c>
      <c r="D35" s="295">
        <v>54.7</v>
      </c>
      <c r="E35" s="294"/>
      <c r="F35" s="695">
        <f t="shared" si="1"/>
        <v>53.150000000000006</v>
      </c>
    </row>
    <row r="36" spans="2:6" ht="12.75">
      <c r="B36" s="323" t="s">
        <v>141</v>
      </c>
      <c r="C36" s="344">
        <v>49.7</v>
      </c>
      <c r="D36" s="295">
        <v>53.8</v>
      </c>
      <c r="E36" s="294"/>
      <c r="F36" s="695">
        <f t="shared" si="1"/>
        <v>51.75</v>
      </c>
    </row>
    <row r="37" spans="2:6" ht="12.75">
      <c r="B37" s="323" t="s">
        <v>127</v>
      </c>
      <c r="C37" s="344">
        <v>54.1</v>
      </c>
      <c r="D37" s="295">
        <v>63.8</v>
      </c>
      <c r="E37" s="294"/>
      <c r="F37" s="695">
        <f t="shared" si="1"/>
        <v>58.95</v>
      </c>
    </row>
    <row r="38" spans="2:6" ht="12.75">
      <c r="B38" s="323" t="s">
        <v>2</v>
      </c>
      <c r="C38" s="344">
        <v>84</v>
      </c>
      <c r="D38" s="295">
        <v>86.6</v>
      </c>
      <c r="E38" s="294"/>
      <c r="F38" s="695">
        <f t="shared" si="1"/>
        <v>85.3</v>
      </c>
    </row>
    <row r="39" spans="2:6" ht="12.75">
      <c r="B39" s="321" t="s">
        <v>180</v>
      </c>
      <c r="C39" s="349"/>
      <c r="D39" s="306"/>
      <c r="E39" s="305"/>
      <c r="F39" s="695"/>
    </row>
    <row r="40" spans="2:6" ht="12.75">
      <c r="B40" s="321" t="s">
        <v>163</v>
      </c>
      <c r="C40" s="349"/>
      <c r="D40" s="306"/>
      <c r="E40" s="305"/>
      <c r="F40" s="695"/>
    </row>
    <row r="41" spans="2:6" ht="12.75">
      <c r="B41" s="323" t="s">
        <v>154</v>
      </c>
      <c r="C41" s="344">
        <v>57.3</v>
      </c>
      <c r="D41" s="295">
        <v>56</v>
      </c>
      <c r="E41" s="294"/>
      <c r="F41" s="695">
        <f t="shared" si="1"/>
        <v>56.65</v>
      </c>
    </row>
    <row r="42" spans="2:6" ht="12.75">
      <c r="B42" s="323" t="s">
        <v>144</v>
      </c>
      <c r="C42" s="344">
        <v>30.5</v>
      </c>
      <c r="D42" s="295">
        <v>45.9</v>
      </c>
      <c r="E42" s="294"/>
      <c r="F42" s="695">
        <f t="shared" si="1"/>
        <v>38.2</v>
      </c>
    </row>
    <row r="43" spans="2:6" ht="12.75">
      <c r="B43" s="323" t="s">
        <v>29</v>
      </c>
      <c r="C43" s="344">
        <v>78.9</v>
      </c>
      <c r="D43" s="295">
        <v>83.4</v>
      </c>
      <c r="E43" s="294"/>
      <c r="F43" s="695">
        <f t="shared" si="1"/>
        <v>81.15</v>
      </c>
    </row>
    <row r="44" spans="2:6" ht="12.75">
      <c r="B44" s="323" t="s">
        <v>117</v>
      </c>
      <c r="C44" s="344">
        <v>56.2</v>
      </c>
      <c r="D44" s="295">
        <v>65.1</v>
      </c>
      <c r="E44" s="294"/>
      <c r="F44" s="695">
        <f t="shared" si="1"/>
        <v>60.65</v>
      </c>
    </row>
    <row r="45" spans="2:6" ht="12.75">
      <c r="B45" s="321" t="s">
        <v>189</v>
      </c>
      <c r="C45" s="349"/>
      <c r="D45" s="306"/>
      <c r="E45" s="305"/>
      <c r="F45" s="695"/>
    </row>
    <row r="46" spans="2:6" ht="12.75">
      <c r="B46" s="321" t="s">
        <v>190</v>
      </c>
      <c r="C46" s="349"/>
      <c r="D46" s="306"/>
      <c r="E46" s="305"/>
      <c r="F46" s="695"/>
    </row>
    <row r="47" spans="2:6" ht="12.75">
      <c r="B47" s="323" t="s">
        <v>25</v>
      </c>
      <c r="C47" s="344">
        <v>80.4</v>
      </c>
      <c r="D47" s="295">
        <v>88.3</v>
      </c>
      <c r="E47" s="294"/>
      <c r="F47" s="695">
        <f t="shared" si="1"/>
        <v>84.35</v>
      </c>
    </row>
    <row r="48" spans="2:6" ht="12.75">
      <c r="B48" s="321" t="s">
        <v>186</v>
      </c>
      <c r="C48" s="349"/>
      <c r="D48" s="306"/>
      <c r="E48" s="305"/>
      <c r="F48" s="695"/>
    </row>
    <row r="49" spans="2:6" ht="12.75">
      <c r="B49" s="323" t="s">
        <v>267</v>
      </c>
      <c r="C49" s="344">
        <v>49.4</v>
      </c>
      <c r="D49" s="295">
        <v>69.7</v>
      </c>
      <c r="E49" s="294"/>
      <c r="F49" s="695">
        <f t="shared" si="1"/>
        <v>59.55</v>
      </c>
    </row>
    <row r="50" spans="2:6" ht="12.75">
      <c r="B50" s="323" t="s">
        <v>18</v>
      </c>
      <c r="C50" s="344">
        <v>81.6</v>
      </c>
      <c r="D50" s="295">
        <v>90.5</v>
      </c>
      <c r="E50" s="294"/>
      <c r="F50" s="695">
        <f t="shared" si="1"/>
        <v>86.05</v>
      </c>
    </row>
    <row r="51" spans="2:6" ht="12.75">
      <c r="B51" s="323" t="s">
        <v>102</v>
      </c>
      <c r="C51" s="344">
        <v>57.5</v>
      </c>
      <c r="D51" s="295">
        <v>65.2</v>
      </c>
      <c r="E51" s="294"/>
      <c r="F51" s="695">
        <f t="shared" si="1"/>
        <v>61.35</v>
      </c>
    </row>
    <row r="52" spans="2:6" ht="12.75">
      <c r="B52" s="323" t="s">
        <v>45</v>
      </c>
      <c r="C52" s="351">
        <v>75.99188600220006</v>
      </c>
      <c r="D52" s="295">
        <v>84.6</v>
      </c>
      <c r="E52" s="294"/>
      <c r="F52" s="695">
        <f t="shared" si="1"/>
        <v>80.29594300110003</v>
      </c>
    </row>
    <row r="53" spans="2:6" ht="12.75">
      <c r="B53" s="323" t="s">
        <v>24</v>
      </c>
      <c r="C53" s="344">
        <v>75.3</v>
      </c>
      <c r="D53" s="295">
        <v>80.7</v>
      </c>
      <c r="E53" s="294"/>
      <c r="F53" s="695">
        <f t="shared" si="1"/>
        <v>78</v>
      </c>
    </row>
    <row r="54" spans="2:6" ht="12.75">
      <c r="B54" s="323" t="s">
        <v>97</v>
      </c>
      <c r="C54" s="344">
        <v>78.4</v>
      </c>
      <c r="D54" s="295">
        <v>79.2</v>
      </c>
      <c r="E54" s="294"/>
      <c r="F54" s="695">
        <f t="shared" si="1"/>
        <v>78.80000000000001</v>
      </c>
    </row>
    <row r="55" spans="2:6" ht="12.75">
      <c r="B55" s="323" t="s">
        <v>34</v>
      </c>
      <c r="C55" s="344">
        <v>86</v>
      </c>
      <c r="D55" s="295">
        <v>76.8</v>
      </c>
      <c r="E55" s="294"/>
      <c r="F55" s="695">
        <f t="shared" si="1"/>
        <v>81.4</v>
      </c>
    </row>
    <row r="56" spans="2:6" ht="12.75">
      <c r="B56" s="323" t="s">
        <v>105</v>
      </c>
      <c r="C56" s="344">
        <v>46.3</v>
      </c>
      <c r="D56" s="295">
        <v>47.3</v>
      </c>
      <c r="E56" s="294"/>
      <c r="F56" s="695">
        <f t="shared" si="1"/>
        <v>46.8</v>
      </c>
    </row>
    <row r="57" spans="2:6" ht="12.75">
      <c r="B57" s="323" t="s">
        <v>42</v>
      </c>
      <c r="C57" s="344">
        <v>84.2</v>
      </c>
      <c r="D57" s="295">
        <v>84</v>
      </c>
      <c r="E57" s="294"/>
      <c r="F57" s="695">
        <f t="shared" si="1"/>
        <v>84.1</v>
      </c>
    </row>
    <row r="58" spans="2:6" ht="12.75">
      <c r="B58" s="323" t="s">
        <v>79</v>
      </c>
      <c r="C58" s="351">
        <v>45.36158679800358</v>
      </c>
      <c r="D58" s="295">
        <v>50.5</v>
      </c>
      <c r="E58" s="294"/>
      <c r="F58" s="695">
        <f t="shared" si="1"/>
        <v>47.930793399001786</v>
      </c>
    </row>
    <row r="59" spans="2:6" ht="12.75">
      <c r="B59" s="321" t="s">
        <v>177</v>
      </c>
      <c r="C59" s="349"/>
      <c r="D59" s="306"/>
      <c r="E59" s="305"/>
      <c r="F59" s="695"/>
    </row>
    <row r="60" spans="2:6" ht="12.75">
      <c r="B60" s="323" t="s">
        <v>46</v>
      </c>
      <c r="C60" s="344">
        <v>69.5</v>
      </c>
      <c r="D60" s="295">
        <v>83</v>
      </c>
      <c r="E60" s="294"/>
      <c r="F60" s="695">
        <f t="shared" si="1"/>
        <v>76.25</v>
      </c>
    </row>
    <row r="61" spans="2:6" ht="12.75">
      <c r="B61" s="323" t="s">
        <v>40</v>
      </c>
      <c r="C61" s="344">
        <v>75.5</v>
      </c>
      <c r="D61" s="295">
        <v>84.4</v>
      </c>
      <c r="E61" s="294"/>
      <c r="F61" s="695">
        <f t="shared" si="1"/>
        <v>79.95</v>
      </c>
    </row>
    <row r="62" spans="2:6" ht="12.75">
      <c r="B62" s="323" t="s">
        <v>73</v>
      </c>
      <c r="C62" s="344">
        <v>57.9</v>
      </c>
      <c r="D62" s="295">
        <v>76.3</v>
      </c>
      <c r="E62" s="294"/>
      <c r="F62" s="695">
        <f t="shared" si="1"/>
        <v>67.1</v>
      </c>
    </row>
    <row r="63" spans="2:6" ht="12.75">
      <c r="B63" s="323" t="s">
        <v>44</v>
      </c>
      <c r="C63" s="344">
        <v>63</v>
      </c>
      <c r="D63" s="295">
        <v>77.2</v>
      </c>
      <c r="E63" s="294"/>
      <c r="F63" s="695">
        <f t="shared" si="1"/>
        <v>70.1</v>
      </c>
    </row>
    <row r="64" spans="2:6" ht="12.75">
      <c r="B64" s="323" t="s">
        <v>139</v>
      </c>
      <c r="C64" s="351">
        <v>46.227192476645435</v>
      </c>
      <c r="D64" s="351">
        <v>51.46365867812493</v>
      </c>
      <c r="E64" s="294"/>
      <c r="F64" s="695">
        <f t="shared" si="1"/>
        <v>48.845425577385186</v>
      </c>
    </row>
    <row r="65" spans="2:6" ht="12.75">
      <c r="B65" s="323" t="s">
        <v>100</v>
      </c>
      <c r="C65" s="351">
        <v>53.35600506537451</v>
      </c>
      <c r="D65" s="295">
        <v>59.4</v>
      </c>
      <c r="E65" s="294"/>
      <c r="F65" s="695">
        <f t="shared" si="1"/>
        <v>56.378002532687255</v>
      </c>
    </row>
    <row r="66" spans="2:6" ht="12.75">
      <c r="B66" s="323" t="s">
        <v>64</v>
      </c>
      <c r="C66" s="351">
        <v>76.53083554831495</v>
      </c>
      <c r="D66" s="295">
        <v>85.2</v>
      </c>
      <c r="E66" s="294"/>
      <c r="F66" s="695">
        <f t="shared" si="1"/>
        <v>80.86541777415748</v>
      </c>
    </row>
    <row r="67" spans="2:6" ht="12.75">
      <c r="B67" s="323" t="s">
        <v>135</v>
      </c>
      <c r="C67" s="344">
        <v>36.7</v>
      </c>
      <c r="D67" s="295">
        <v>58.8</v>
      </c>
      <c r="E67" s="294"/>
      <c r="F67" s="695">
        <f t="shared" si="1"/>
        <v>47.75</v>
      </c>
    </row>
    <row r="68" spans="2:6" ht="12.75">
      <c r="B68" s="321" t="s">
        <v>161</v>
      </c>
      <c r="C68" s="349"/>
      <c r="D68" s="306"/>
      <c r="E68" s="305"/>
      <c r="F68" s="695"/>
    </row>
    <row r="69" spans="2:6" ht="12.75">
      <c r="B69" s="323" t="s">
        <v>57</v>
      </c>
      <c r="C69" s="351">
        <v>62.6079722736802</v>
      </c>
      <c r="D69" s="295">
        <v>69.7</v>
      </c>
      <c r="E69" s="294"/>
      <c r="F69" s="695">
        <f t="shared" si="1"/>
        <v>66.1539861368401</v>
      </c>
    </row>
    <row r="70" spans="2:6" ht="12.75">
      <c r="B70" s="323" t="s">
        <v>3</v>
      </c>
      <c r="C70" s="344">
        <v>87</v>
      </c>
      <c r="D70" s="295">
        <v>91.4</v>
      </c>
      <c r="E70" s="294"/>
      <c r="F70" s="695">
        <f t="shared" si="1"/>
        <v>89.2</v>
      </c>
    </row>
    <row r="71" spans="2:6" ht="12.75">
      <c r="B71" s="323" t="s">
        <v>22</v>
      </c>
      <c r="C71" s="344">
        <v>82.5</v>
      </c>
      <c r="D71" s="295">
        <v>87.8</v>
      </c>
      <c r="E71" s="294"/>
      <c r="F71" s="695">
        <f t="shared" si="1"/>
        <v>85.15</v>
      </c>
    </row>
    <row r="72" spans="2:6" ht="12.75">
      <c r="B72" s="321" t="s">
        <v>171</v>
      </c>
      <c r="C72" s="349"/>
      <c r="D72" s="306"/>
      <c r="E72" s="305"/>
      <c r="F72" s="695"/>
    </row>
    <row r="73" spans="2:6" ht="12.75">
      <c r="B73" s="321" t="s">
        <v>173</v>
      </c>
      <c r="C73" s="349"/>
      <c r="D73" s="306"/>
      <c r="E73" s="305"/>
      <c r="F73" s="695"/>
    </row>
    <row r="74" spans="2:6" ht="12.75">
      <c r="B74" s="323" t="s">
        <v>96</v>
      </c>
      <c r="C74" s="344">
        <v>73.2</v>
      </c>
      <c r="D74" s="295">
        <v>77.3</v>
      </c>
      <c r="E74" s="294"/>
      <c r="F74" s="695">
        <f t="shared" si="1"/>
        <v>75.25</v>
      </c>
    </row>
    <row r="75" spans="2:6" ht="12.75">
      <c r="B75" s="323" t="s">
        <v>113</v>
      </c>
      <c r="C75" s="344">
        <v>52.3</v>
      </c>
      <c r="D75" s="351">
        <v>61.78095540595904</v>
      </c>
      <c r="E75" s="294"/>
      <c r="F75" s="695">
        <f t="shared" si="1"/>
        <v>57.040477702979516</v>
      </c>
    </row>
    <row r="76" spans="2:6" ht="12.75">
      <c r="B76" s="323" t="s">
        <v>66</v>
      </c>
      <c r="C76" s="344">
        <v>61.4</v>
      </c>
      <c r="D76" s="295">
        <v>82.2</v>
      </c>
      <c r="E76" s="294"/>
      <c r="F76" s="695">
        <f t="shared" si="1"/>
        <v>71.8</v>
      </c>
    </row>
    <row r="77" spans="2:6" ht="12.75">
      <c r="B77" s="323" t="s">
        <v>30</v>
      </c>
      <c r="C77" s="344">
        <v>79.4</v>
      </c>
      <c r="D77" s="295">
        <v>86.3</v>
      </c>
      <c r="E77" s="294"/>
      <c r="F77" s="695">
        <f t="shared" si="1"/>
        <v>82.85</v>
      </c>
    </row>
    <row r="78" spans="2:6" ht="12.75">
      <c r="B78" s="323" t="s">
        <v>108</v>
      </c>
      <c r="C78" s="344">
        <v>63.1</v>
      </c>
      <c r="D78" s="295">
        <v>70.8</v>
      </c>
      <c r="E78" s="294"/>
      <c r="F78" s="695">
        <f aca="true" t="shared" si="2" ref="F78:F140">SUM(C78:E78)/2</f>
        <v>66.95</v>
      </c>
    </row>
    <row r="79" spans="2:6" ht="12.75">
      <c r="B79" s="323" t="s">
        <v>76</v>
      </c>
      <c r="C79" s="344">
        <v>80.2</v>
      </c>
      <c r="D79" s="295">
        <v>80.2</v>
      </c>
      <c r="E79" s="294"/>
      <c r="F79" s="695">
        <f t="shared" si="2"/>
        <v>80.2</v>
      </c>
    </row>
    <row r="80" spans="2:6" ht="12.75">
      <c r="B80" s="321" t="s">
        <v>164</v>
      </c>
      <c r="C80" s="349"/>
      <c r="D80" s="306"/>
      <c r="E80" s="305"/>
      <c r="F80" s="695"/>
    </row>
    <row r="81" spans="2:6" ht="12.75">
      <c r="B81" s="321" t="s">
        <v>176</v>
      </c>
      <c r="C81" s="349"/>
      <c r="D81" s="306"/>
      <c r="E81" s="305"/>
      <c r="F81" s="695"/>
    </row>
    <row r="82" spans="2:6" ht="12.75">
      <c r="B82" s="321" t="s">
        <v>168</v>
      </c>
      <c r="C82" s="349"/>
      <c r="D82" s="306"/>
      <c r="E82" s="305"/>
      <c r="F82" s="695"/>
    </row>
    <row r="83" spans="2:6" ht="12.75">
      <c r="B83" s="323" t="s">
        <v>104</v>
      </c>
      <c r="C83" s="344">
        <v>68.9</v>
      </c>
      <c r="D83" s="295">
        <v>76.7</v>
      </c>
      <c r="E83" s="294"/>
      <c r="F83" s="695">
        <f t="shared" si="2"/>
        <v>72.80000000000001</v>
      </c>
    </row>
    <row r="84" spans="2:6" ht="12.75">
      <c r="B84" s="323" t="s">
        <v>130</v>
      </c>
      <c r="C84" s="344">
        <v>49.2</v>
      </c>
      <c r="D84" s="295">
        <v>51.3</v>
      </c>
      <c r="E84" s="294"/>
      <c r="F84" s="695">
        <f t="shared" si="2"/>
        <v>50.25</v>
      </c>
    </row>
    <row r="85" spans="2:6" ht="12.75">
      <c r="B85" s="323" t="s">
        <v>126</v>
      </c>
      <c r="C85" s="344">
        <v>46.1</v>
      </c>
      <c r="D85" s="295">
        <v>49.7</v>
      </c>
      <c r="E85" s="294"/>
      <c r="F85" s="695">
        <f t="shared" si="2"/>
        <v>47.900000000000006</v>
      </c>
    </row>
    <row r="86" spans="2:6" ht="12.75">
      <c r="B86" s="323" t="s">
        <v>85</v>
      </c>
      <c r="C86" s="351">
        <v>58.20655098040856</v>
      </c>
      <c r="D86" s="295">
        <v>64.8</v>
      </c>
      <c r="E86" s="294"/>
      <c r="F86" s="695">
        <f t="shared" si="2"/>
        <v>61.503275490204274</v>
      </c>
    </row>
    <row r="87" spans="2:6" ht="12.75">
      <c r="B87" s="323" t="s">
        <v>148</v>
      </c>
      <c r="C87" s="344">
        <v>48.9</v>
      </c>
      <c r="D87" s="295">
        <v>60.7</v>
      </c>
      <c r="E87" s="294"/>
      <c r="F87" s="695">
        <f t="shared" si="2"/>
        <v>54.8</v>
      </c>
    </row>
    <row r="88" spans="2:6" ht="12.75">
      <c r="B88" s="323" t="s">
        <v>114</v>
      </c>
      <c r="C88" s="344">
        <v>70.8</v>
      </c>
      <c r="D88" s="295">
        <v>75.4</v>
      </c>
      <c r="E88" s="294"/>
      <c r="F88" s="695">
        <f t="shared" si="2"/>
        <v>73.1</v>
      </c>
    </row>
    <row r="89" spans="2:6" ht="12.75">
      <c r="B89" s="323" t="s">
        <v>43</v>
      </c>
      <c r="C89" s="344">
        <v>77</v>
      </c>
      <c r="D89" s="295">
        <v>84.2</v>
      </c>
      <c r="E89" s="294"/>
      <c r="F89" s="695">
        <f t="shared" si="2"/>
        <v>80.6</v>
      </c>
    </row>
    <row r="90" spans="2:6" ht="12.75">
      <c r="B90" s="323" t="s">
        <v>16</v>
      </c>
      <c r="C90" s="344">
        <v>82.1</v>
      </c>
      <c r="D90" s="295">
        <v>87.6</v>
      </c>
      <c r="E90" s="294"/>
      <c r="F90" s="695">
        <f t="shared" si="2"/>
        <v>84.85</v>
      </c>
    </row>
    <row r="91" spans="2:6" ht="12.75">
      <c r="B91" s="323" t="s">
        <v>118</v>
      </c>
      <c r="C91" s="344">
        <v>47.7</v>
      </c>
      <c r="D91" s="295">
        <v>60.3</v>
      </c>
      <c r="E91" s="294"/>
      <c r="F91" s="695">
        <f t="shared" si="2"/>
        <v>54</v>
      </c>
    </row>
    <row r="92" spans="2:6" ht="12.75">
      <c r="B92" s="323" t="s">
        <v>128</v>
      </c>
      <c r="C92" s="344">
        <v>60.7</v>
      </c>
      <c r="D92" s="295">
        <v>66.2</v>
      </c>
      <c r="E92" s="294"/>
      <c r="F92" s="695">
        <f t="shared" si="2"/>
        <v>63.45</v>
      </c>
    </row>
    <row r="93" spans="2:6" ht="12.75">
      <c r="B93" s="323" t="s">
        <v>4</v>
      </c>
      <c r="C93" s="344">
        <v>70</v>
      </c>
      <c r="D93" s="295">
        <v>76.9</v>
      </c>
      <c r="E93" s="294"/>
      <c r="F93" s="695">
        <f t="shared" si="2"/>
        <v>73.45</v>
      </c>
    </row>
    <row r="94" spans="2:6" ht="12.75">
      <c r="B94" s="324" t="s">
        <v>143</v>
      </c>
      <c r="C94" s="351">
        <v>48.41563422598798</v>
      </c>
      <c r="D94" s="295">
        <v>53.9</v>
      </c>
      <c r="E94" s="294"/>
      <c r="F94" s="695">
        <f t="shared" si="2"/>
        <v>51.15781711299399</v>
      </c>
    </row>
    <row r="95" spans="2:6" ht="12.75">
      <c r="B95" s="323" t="s">
        <v>53</v>
      </c>
      <c r="C95" s="344">
        <v>83.3</v>
      </c>
      <c r="D95" s="295">
        <v>82.7</v>
      </c>
      <c r="E95" s="294"/>
      <c r="F95" s="695">
        <f t="shared" si="2"/>
        <v>83</v>
      </c>
    </row>
    <row r="96" spans="2:6" ht="12.75">
      <c r="B96" s="323" t="s">
        <v>5</v>
      </c>
      <c r="C96" s="344">
        <v>73.7</v>
      </c>
      <c r="D96" s="295">
        <v>79.6</v>
      </c>
      <c r="E96" s="294"/>
      <c r="F96" s="695">
        <f t="shared" si="2"/>
        <v>76.65</v>
      </c>
    </row>
    <row r="97" spans="2:6" ht="12.75">
      <c r="B97" s="323" t="s">
        <v>31</v>
      </c>
      <c r="C97" s="344">
        <v>79.8</v>
      </c>
      <c r="D97" s="295">
        <v>84.2</v>
      </c>
      <c r="E97" s="294"/>
      <c r="F97" s="695">
        <f t="shared" si="2"/>
        <v>82</v>
      </c>
    </row>
    <row r="98" spans="2:6" ht="12.75">
      <c r="B98" s="323" t="s">
        <v>90</v>
      </c>
      <c r="C98" s="344">
        <v>74.7</v>
      </c>
      <c r="D98" s="295">
        <v>79.1</v>
      </c>
      <c r="E98" s="294"/>
      <c r="F98" s="695">
        <f t="shared" si="2"/>
        <v>76.9</v>
      </c>
    </row>
    <row r="99" spans="2:6" ht="12.75">
      <c r="B99" s="323" t="s">
        <v>6</v>
      </c>
      <c r="C99" s="344">
        <v>81.9</v>
      </c>
      <c r="D99" s="295">
        <v>84.5</v>
      </c>
      <c r="E99" s="294"/>
      <c r="F99" s="695">
        <f t="shared" si="2"/>
        <v>83.2</v>
      </c>
    </row>
    <row r="100" spans="2:6" ht="12.75">
      <c r="B100" s="323" t="s">
        <v>98</v>
      </c>
      <c r="C100" s="344">
        <v>66</v>
      </c>
      <c r="D100" s="295">
        <v>76.5</v>
      </c>
      <c r="E100" s="294"/>
      <c r="F100" s="695">
        <f t="shared" si="2"/>
        <v>71.25</v>
      </c>
    </row>
    <row r="101" spans="2:6" ht="12.75">
      <c r="B101" s="323" t="s">
        <v>93</v>
      </c>
      <c r="C101" s="344">
        <v>63.5</v>
      </c>
      <c r="D101" s="295">
        <v>65</v>
      </c>
      <c r="E101" s="294"/>
      <c r="F101" s="695">
        <f t="shared" si="2"/>
        <v>64.25</v>
      </c>
    </row>
    <row r="102" spans="2:6" ht="12.75">
      <c r="B102" s="323" t="s">
        <v>107</v>
      </c>
      <c r="C102" s="344">
        <v>56.4</v>
      </c>
      <c r="D102" s="295">
        <v>69</v>
      </c>
      <c r="E102" s="294"/>
      <c r="F102" s="695">
        <f t="shared" si="2"/>
        <v>62.7</v>
      </c>
    </row>
    <row r="103" spans="2:6" ht="12.75">
      <c r="B103" s="321" t="s">
        <v>183</v>
      </c>
      <c r="C103" s="349"/>
      <c r="D103" s="306"/>
      <c r="E103" s="305"/>
      <c r="F103" s="695"/>
    </row>
    <row r="104" spans="2:6" ht="12.75">
      <c r="B104" s="321" t="s">
        <v>7</v>
      </c>
      <c r="C104" s="351">
        <v>57.93707620735111</v>
      </c>
      <c r="D104" s="295">
        <v>64.5</v>
      </c>
      <c r="E104" s="294"/>
      <c r="F104" s="695">
        <f t="shared" si="2"/>
        <v>61.218538103675556</v>
      </c>
    </row>
    <row r="105" spans="2:6" ht="12.75">
      <c r="B105" s="323" t="s">
        <v>82</v>
      </c>
      <c r="C105" s="344">
        <v>60.5</v>
      </c>
      <c r="D105" s="295">
        <v>69.6</v>
      </c>
      <c r="E105" s="294"/>
      <c r="F105" s="695">
        <f t="shared" si="2"/>
        <v>65.05</v>
      </c>
    </row>
    <row r="106" spans="2:6" ht="12.75">
      <c r="B106" s="323" t="s">
        <v>83</v>
      </c>
      <c r="C106" s="344">
        <v>52.9</v>
      </c>
      <c r="D106" s="295">
        <v>66.3</v>
      </c>
      <c r="E106" s="294"/>
      <c r="F106" s="695">
        <f t="shared" si="2"/>
        <v>59.599999999999994</v>
      </c>
    </row>
    <row r="107" spans="2:6" ht="12.75">
      <c r="B107" s="323" t="s">
        <v>33</v>
      </c>
      <c r="C107" s="351">
        <v>79.76453282500432</v>
      </c>
      <c r="D107" s="295">
        <v>88.8</v>
      </c>
      <c r="E107" s="294"/>
      <c r="F107" s="695">
        <f t="shared" si="2"/>
        <v>84.28226641250217</v>
      </c>
    </row>
    <row r="108" spans="2:6" ht="12.75">
      <c r="B108" s="323" t="s">
        <v>91</v>
      </c>
      <c r="C108" s="344">
        <v>76.7</v>
      </c>
      <c r="D108" s="295">
        <v>70.3</v>
      </c>
      <c r="E108" s="294"/>
      <c r="F108" s="695">
        <f t="shared" si="2"/>
        <v>73.5</v>
      </c>
    </row>
    <row r="109" spans="2:6" ht="12.75">
      <c r="B109" s="321" t="s">
        <v>184</v>
      </c>
      <c r="C109" s="294">
        <v>51</v>
      </c>
      <c r="D109" s="351">
        <v>56.7</v>
      </c>
      <c r="E109" s="305"/>
      <c r="F109" s="695">
        <f t="shared" si="2"/>
        <v>53.85</v>
      </c>
    </row>
    <row r="110" spans="2:6" ht="12.75">
      <c r="B110" s="323" t="s">
        <v>268</v>
      </c>
      <c r="C110" s="351">
        <v>55.27404160095314</v>
      </c>
      <c r="D110" s="351">
        <v>61.535305483867766</v>
      </c>
      <c r="E110" s="294"/>
      <c r="F110" s="695">
        <f t="shared" si="2"/>
        <v>58.40467354241045</v>
      </c>
    </row>
    <row r="111" spans="2:6" ht="12.75">
      <c r="B111" s="323" t="s">
        <v>47</v>
      </c>
      <c r="C111" s="351">
        <v>77.42908479183978</v>
      </c>
      <c r="D111" s="295">
        <v>86.2</v>
      </c>
      <c r="E111" s="294"/>
      <c r="F111" s="695">
        <f t="shared" si="2"/>
        <v>81.81454239591989</v>
      </c>
    </row>
    <row r="112" spans="2:6" ht="12.75">
      <c r="B112" s="321" t="s">
        <v>8</v>
      </c>
      <c r="C112" s="351">
        <v>74.64451213691282</v>
      </c>
      <c r="D112" s="295">
        <v>83.1</v>
      </c>
      <c r="E112" s="294"/>
      <c r="F112" s="695">
        <f t="shared" si="2"/>
        <v>78.87225606845641</v>
      </c>
    </row>
    <row r="113" spans="2:6" ht="12.75">
      <c r="B113" s="323" t="s">
        <v>77</v>
      </c>
      <c r="C113" s="351">
        <v>67.45851818871424</v>
      </c>
      <c r="D113" s="295">
        <v>75.1</v>
      </c>
      <c r="E113" s="294"/>
      <c r="F113" s="695">
        <f t="shared" si="2"/>
        <v>71.27925909435712</v>
      </c>
    </row>
    <row r="114" spans="2:6" ht="12.75">
      <c r="B114" s="323" t="s">
        <v>116</v>
      </c>
      <c r="C114" s="344">
        <v>48.5</v>
      </c>
      <c r="D114" s="295">
        <v>54.6</v>
      </c>
      <c r="E114" s="294"/>
      <c r="F114" s="695">
        <f t="shared" si="2"/>
        <v>51.55</v>
      </c>
    </row>
    <row r="115" spans="2:6" ht="12.75">
      <c r="B115" s="323" t="s">
        <v>106</v>
      </c>
      <c r="C115" s="344">
        <v>56.5</v>
      </c>
      <c r="D115" s="295">
        <v>59.9</v>
      </c>
      <c r="E115" s="294"/>
      <c r="F115" s="695">
        <f t="shared" si="2"/>
        <v>58.2</v>
      </c>
    </row>
    <row r="116" spans="2:6" ht="12.75">
      <c r="B116" s="323" t="s">
        <v>9</v>
      </c>
      <c r="C116" s="344">
        <v>83.3</v>
      </c>
      <c r="D116" s="295">
        <v>84</v>
      </c>
      <c r="E116" s="294"/>
      <c r="F116" s="695">
        <f t="shared" si="2"/>
        <v>83.65</v>
      </c>
    </row>
    <row r="117" spans="2:6" ht="12.75">
      <c r="B117" s="323" t="s">
        <v>56</v>
      </c>
      <c r="C117" s="351">
        <v>72.70577527949725</v>
      </c>
      <c r="D117" s="351">
        <v>80.94164932907955</v>
      </c>
      <c r="E117" s="294"/>
      <c r="F117" s="695">
        <f t="shared" si="2"/>
        <v>76.82371230428839</v>
      </c>
    </row>
    <row r="118" spans="2:6" ht="12.75">
      <c r="B118" s="323" t="s">
        <v>149</v>
      </c>
      <c r="C118" s="344">
        <v>33.9</v>
      </c>
      <c r="D118" s="295">
        <v>44.3</v>
      </c>
      <c r="E118" s="294"/>
      <c r="F118" s="695">
        <f t="shared" si="2"/>
        <v>39.099999999999994</v>
      </c>
    </row>
    <row r="119" spans="2:6" ht="12.75">
      <c r="B119" s="323" t="s">
        <v>26</v>
      </c>
      <c r="C119" s="351">
        <v>84.17982782739968</v>
      </c>
      <c r="D119" s="351">
        <v>93.71544527782655</v>
      </c>
      <c r="E119" s="294"/>
      <c r="F119" s="695">
        <f t="shared" si="2"/>
        <v>88.94763655261312</v>
      </c>
    </row>
    <row r="120" spans="2:6" ht="12.75">
      <c r="B120" s="321" t="s">
        <v>169</v>
      </c>
      <c r="C120" s="349"/>
      <c r="D120" s="306"/>
      <c r="E120" s="305"/>
      <c r="F120" s="695"/>
    </row>
    <row r="121" spans="2:6" ht="12.75">
      <c r="B121" s="323" t="s">
        <v>153</v>
      </c>
      <c r="C121" s="344">
        <v>32</v>
      </c>
      <c r="D121" s="295">
        <v>44.2</v>
      </c>
      <c r="E121" s="294"/>
      <c r="F121" s="695">
        <f t="shared" si="2"/>
        <v>38.1</v>
      </c>
    </row>
    <row r="122" spans="2:6" ht="12.75">
      <c r="B122" s="323" t="s">
        <v>21</v>
      </c>
      <c r="C122" s="351">
        <v>70.15326591928871</v>
      </c>
      <c r="D122" s="295">
        <v>78.1</v>
      </c>
      <c r="E122" s="294"/>
      <c r="F122" s="695">
        <f t="shared" si="2"/>
        <v>74.12663295964435</v>
      </c>
    </row>
    <row r="123" spans="2:6" ht="12.75">
      <c r="B123" s="323" t="s">
        <v>52</v>
      </c>
      <c r="C123" s="344">
        <v>64.8</v>
      </c>
      <c r="D123" s="295">
        <v>79.8</v>
      </c>
      <c r="E123" s="294"/>
      <c r="F123" s="695">
        <f t="shared" si="2"/>
        <v>72.3</v>
      </c>
    </row>
    <row r="124" spans="2:6" ht="12.75">
      <c r="B124" s="323" t="s">
        <v>88</v>
      </c>
      <c r="C124" s="344">
        <v>62.9</v>
      </c>
      <c r="D124" s="295">
        <v>70.7</v>
      </c>
      <c r="E124" s="294"/>
      <c r="F124" s="695">
        <f t="shared" si="2"/>
        <v>66.8</v>
      </c>
    </row>
    <row r="125" spans="2:6" ht="12.75">
      <c r="B125" s="323" t="s">
        <v>136</v>
      </c>
      <c r="C125" s="344">
        <v>48.8</v>
      </c>
      <c r="D125" s="295">
        <v>68.1</v>
      </c>
      <c r="E125" s="294"/>
      <c r="F125" s="695">
        <f t="shared" si="2"/>
        <v>58.449999999999996</v>
      </c>
    </row>
    <row r="126" spans="2:6" ht="12.75">
      <c r="B126" s="321" t="s">
        <v>285</v>
      </c>
      <c r="C126" s="350"/>
      <c r="D126" s="306"/>
      <c r="E126" s="307"/>
      <c r="F126" s="695"/>
    </row>
    <row r="127" spans="2:6" ht="12.75">
      <c r="B127" s="323" t="s">
        <v>60</v>
      </c>
      <c r="C127" s="344">
        <v>64.1</v>
      </c>
      <c r="D127" s="295">
        <v>72.1</v>
      </c>
      <c r="E127" s="294"/>
      <c r="F127" s="695">
        <f t="shared" si="2"/>
        <v>68.1</v>
      </c>
    </row>
    <row r="128" spans="2:6" ht="12.75">
      <c r="B128" s="323" t="s">
        <v>110</v>
      </c>
      <c r="C128" s="344">
        <v>45.7</v>
      </c>
      <c r="D128" s="295">
        <v>53.9</v>
      </c>
      <c r="E128" s="294"/>
      <c r="F128" s="695">
        <f t="shared" si="2"/>
        <v>49.8</v>
      </c>
    </row>
    <row r="129" spans="2:6" ht="12.75">
      <c r="B129" s="323" t="s">
        <v>270</v>
      </c>
      <c r="C129" s="344">
        <v>57</v>
      </c>
      <c r="D129" s="295">
        <v>65.1</v>
      </c>
      <c r="E129" s="294"/>
      <c r="F129" s="695">
        <f t="shared" si="2"/>
        <v>61.05</v>
      </c>
    </row>
    <row r="130" spans="2:6" ht="12.75">
      <c r="B130" s="323" t="s">
        <v>84</v>
      </c>
      <c r="C130" s="344">
        <v>56.5</v>
      </c>
      <c r="D130" s="295">
        <v>70.6</v>
      </c>
      <c r="E130" s="294"/>
      <c r="F130" s="695">
        <f t="shared" si="2"/>
        <v>63.55</v>
      </c>
    </row>
    <row r="131" spans="2:6" ht="12.75">
      <c r="B131" s="323" t="s">
        <v>48</v>
      </c>
      <c r="C131" s="344">
        <v>60.2</v>
      </c>
      <c r="D131" s="295">
        <v>72.1</v>
      </c>
      <c r="E131" s="294"/>
      <c r="F131" s="695">
        <f t="shared" si="2"/>
        <v>66.15</v>
      </c>
    </row>
    <row r="132" spans="2:6" ht="12.75">
      <c r="B132" s="323" t="s">
        <v>55</v>
      </c>
      <c r="C132" s="344">
        <v>78.7</v>
      </c>
      <c r="D132" s="295">
        <v>78.7</v>
      </c>
      <c r="E132" s="294"/>
      <c r="F132" s="695">
        <f t="shared" si="2"/>
        <v>78.7</v>
      </c>
    </row>
    <row r="133" spans="2:6" ht="12.75">
      <c r="B133" s="321" t="s">
        <v>159</v>
      </c>
      <c r="C133" s="349"/>
      <c r="D133" s="306"/>
      <c r="E133" s="305"/>
      <c r="F133" s="695"/>
    </row>
    <row r="134" spans="2:6" ht="12.75">
      <c r="B134" s="321" t="s">
        <v>162</v>
      </c>
      <c r="C134" s="349"/>
      <c r="D134" s="306"/>
      <c r="E134" s="305"/>
      <c r="F134" s="695"/>
    </row>
    <row r="135" spans="2:6" ht="12.75">
      <c r="B135" s="323" t="s">
        <v>10</v>
      </c>
      <c r="C135" s="344">
        <v>88</v>
      </c>
      <c r="D135" s="295">
        <v>88.9</v>
      </c>
      <c r="E135" s="294"/>
      <c r="F135" s="695">
        <f t="shared" si="2"/>
        <v>88.45</v>
      </c>
    </row>
    <row r="136" spans="2:6" ht="12.75">
      <c r="B136" s="323" t="s">
        <v>94</v>
      </c>
      <c r="C136" s="344">
        <v>69.2</v>
      </c>
      <c r="D136" s="295">
        <v>73.4</v>
      </c>
      <c r="E136" s="294"/>
      <c r="F136" s="695">
        <f t="shared" si="2"/>
        <v>71.30000000000001</v>
      </c>
    </row>
    <row r="137" spans="2:6" ht="12.75">
      <c r="B137" s="323" t="s">
        <v>150</v>
      </c>
      <c r="C137" s="344">
        <v>25.7</v>
      </c>
      <c r="D137" s="295">
        <v>39.1</v>
      </c>
      <c r="E137" s="294"/>
      <c r="F137" s="695">
        <f t="shared" si="2"/>
        <v>32.4</v>
      </c>
    </row>
    <row r="138" spans="2:6" ht="12.75">
      <c r="B138" s="323" t="s">
        <v>146</v>
      </c>
      <c r="C138" s="344">
        <v>44.5</v>
      </c>
      <c r="D138" s="295">
        <v>56.2</v>
      </c>
      <c r="E138" s="294"/>
      <c r="F138" s="695">
        <f t="shared" si="2"/>
        <v>50.35</v>
      </c>
    </row>
    <row r="139" spans="2:6" ht="12.75">
      <c r="B139" s="323" t="s">
        <v>140</v>
      </c>
      <c r="C139" s="351">
        <v>46.11686504830022</v>
      </c>
      <c r="D139" s="351">
        <v>51.340833717079285</v>
      </c>
      <c r="E139" s="294"/>
      <c r="F139" s="695">
        <f t="shared" si="2"/>
        <v>48.72884938268975</v>
      </c>
    </row>
    <row r="140" spans="2:6" ht="12.75">
      <c r="B140" s="323" t="s">
        <v>20</v>
      </c>
      <c r="C140" s="344">
        <v>80.2</v>
      </c>
      <c r="D140" s="295">
        <v>93.1</v>
      </c>
      <c r="E140" s="294"/>
      <c r="F140" s="695">
        <f t="shared" si="2"/>
        <v>86.65</v>
      </c>
    </row>
    <row r="141" spans="2:6" ht="12.75">
      <c r="B141" s="321" t="s">
        <v>197</v>
      </c>
      <c r="C141" s="349"/>
      <c r="D141" s="306"/>
      <c r="E141" s="305"/>
      <c r="F141" s="695"/>
    </row>
    <row r="142" spans="2:6" ht="12.75">
      <c r="B142" s="323" t="s">
        <v>11</v>
      </c>
      <c r="C142" s="344">
        <v>67.9</v>
      </c>
      <c r="D142" s="295">
        <v>70.3</v>
      </c>
      <c r="E142" s="294"/>
      <c r="F142" s="695">
        <f aca="true" t="shared" si="3" ref="F142:F205">SUM(C142:E142)/2</f>
        <v>69.1</v>
      </c>
    </row>
    <row r="143" spans="2:6" ht="12.75">
      <c r="B143" s="323" t="s">
        <v>120</v>
      </c>
      <c r="C143" s="344">
        <v>41.1</v>
      </c>
      <c r="D143" s="295">
        <v>58.7</v>
      </c>
      <c r="E143" s="294"/>
      <c r="F143" s="695">
        <f t="shared" si="3"/>
        <v>49.900000000000006</v>
      </c>
    </row>
    <row r="144" spans="2:6" ht="12.75">
      <c r="B144" s="323" t="s">
        <v>36</v>
      </c>
      <c r="C144" s="344">
        <v>76.5</v>
      </c>
      <c r="D144" s="295">
        <v>83.1</v>
      </c>
      <c r="E144" s="294"/>
      <c r="F144" s="695">
        <f t="shared" si="3"/>
        <v>79.8</v>
      </c>
    </row>
    <row r="145" spans="2:6" ht="12.75">
      <c r="B145" s="323" t="s">
        <v>132</v>
      </c>
      <c r="C145" s="344">
        <v>55.5</v>
      </c>
      <c r="D145" s="295">
        <v>64.8</v>
      </c>
      <c r="E145" s="294"/>
      <c r="F145" s="695">
        <f t="shared" si="3"/>
        <v>60.15</v>
      </c>
    </row>
    <row r="146" spans="2:6" ht="12.75">
      <c r="B146" s="323" t="s">
        <v>67</v>
      </c>
      <c r="C146" s="344">
        <v>66.4</v>
      </c>
      <c r="D146" s="295">
        <v>77.7</v>
      </c>
      <c r="E146" s="294"/>
      <c r="F146" s="695">
        <f t="shared" si="3"/>
        <v>72.05000000000001</v>
      </c>
    </row>
    <row r="147" spans="2:6" ht="12.75">
      <c r="B147" s="323" t="s">
        <v>41</v>
      </c>
      <c r="C147" s="344">
        <v>65.4</v>
      </c>
      <c r="D147" s="295">
        <v>78.1</v>
      </c>
      <c r="E147" s="294"/>
      <c r="F147" s="695">
        <f t="shared" si="3"/>
        <v>71.75</v>
      </c>
    </row>
    <row r="148" spans="2:6" ht="12.75">
      <c r="B148" s="323" t="s">
        <v>58</v>
      </c>
      <c r="C148" s="344">
        <v>69.4</v>
      </c>
      <c r="D148" s="295">
        <v>77.9</v>
      </c>
      <c r="E148" s="294"/>
      <c r="F148" s="695">
        <f t="shared" si="3"/>
        <v>73.65</v>
      </c>
    </row>
    <row r="149" spans="2:6" ht="12.75">
      <c r="B149" s="323" t="s">
        <v>69</v>
      </c>
      <c r="C149" s="344">
        <v>76.2</v>
      </c>
      <c r="D149" s="295">
        <v>80.5</v>
      </c>
      <c r="E149" s="294"/>
      <c r="F149" s="695">
        <f t="shared" si="3"/>
        <v>78.35</v>
      </c>
    </row>
    <row r="150" spans="2:6" ht="12.75">
      <c r="B150" s="323" t="s">
        <v>32</v>
      </c>
      <c r="C150" s="344">
        <v>82.9</v>
      </c>
      <c r="D150" s="295">
        <v>85.8</v>
      </c>
      <c r="E150" s="294"/>
      <c r="F150" s="695">
        <f t="shared" si="3"/>
        <v>84.35</v>
      </c>
    </row>
    <row r="151" spans="2:6" ht="12.75">
      <c r="B151" s="321" t="s">
        <v>12</v>
      </c>
      <c r="C151" s="351">
        <v>53.950112460810544</v>
      </c>
      <c r="D151" s="351">
        <v>60.061405951320026</v>
      </c>
      <c r="E151" s="294"/>
      <c r="F151" s="695">
        <f t="shared" si="3"/>
        <v>57.005759206065285</v>
      </c>
    </row>
    <row r="152" spans="2:6" ht="12.75">
      <c r="B152" s="321" t="s">
        <v>172</v>
      </c>
      <c r="C152" s="349"/>
      <c r="D152" s="306"/>
      <c r="E152" s="305"/>
      <c r="F152" s="695"/>
    </row>
    <row r="153" spans="2:6" ht="12.75">
      <c r="B153" s="323" t="s">
        <v>54</v>
      </c>
      <c r="C153" s="344">
        <v>56.9</v>
      </c>
      <c r="D153" s="295">
        <v>71.9</v>
      </c>
      <c r="E153" s="294"/>
      <c r="F153" s="695">
        <f t="shared" si="3"/>
        <v>64.4</v>
      </c>
    </row>
    <row r="154" spans="2:6" ht="12.75">
      <c r="B154" s="323" t="s">
        <v>74</v>
      </c>
      <c r="C154" s="344">
        <v>77.5</v>
      </c>
      <c r="D154" s="295">
        <v>83.9</v>
      </c>
      <c r="E154" s="294"/>
      <c r="F154" s="695">
        <f t="shared" si="3"/>
        <v>80.7</v>
      </c>
    </row>
    <row r="155" spans="2:6" ht="12.75">
      <c r="B155" s="323" t="s">
        <v>129</v>
      </c>
      <c r="C155" s="344">
        <v>57</v>
      </c>
      <c r="D155" s="295">
        <v>54.9</v>
      </c>
      <c r="E155" s="294"/>
      <c r="F155" s="695">
        <f t="shared" si="3"/>
        <v>55.95</v>
      </c>
    </row>
    <row r="156" spans="2:6" ht="12.75">
      <c r="B156" s="321" t="s">
        <v>174</v>
      </c>
      <c r="C156" s="349"/>
      <c r="D156" s="306"/>
      <c r="E156" s="305"/>
      <c r="F156" s="695"/>
    </row>
    <row r="157" spans="2:6" ht="12.75">
      <c r="B157" s="321" t="s">
        <v>175</v>
      </c>
      <c r="C157" s="349"/>
      <c r="D157" s="306"/>
      <c r="E157" s="305"/>
      <c r="F157" s="695"/>
    </row>
    <row r="158" spans="2:6" ht="12.75">
      <c r="B158" s="321" t="s">
        <v>198</v>
      </c>
      <c r="C158" s="349"/>
      <c r="D158" s="306"/>
      <c r="E158" s="305"/>
      <c r="F158" s="695"/>
    </row>
    <row r="159" spans="2:6" ht="12.75">
      <c r="B159" s="321" t="s">
        <v>179</v>
      </c>
      <c r="C159" s="349"/>
      <c r="D159" s="306"/>
      <c r="E159" s="305"/>
      <c r="F159" s="695"/>
    </row>
    <row r="160" spans="2:6" ht="12.75">
      <c r="B160" s="323" t="s">
        <v>92</v>
      </c>
      <c r="C160" s="351">
        <v>63.21761644180867</v>
      </c>
      <c r="D160" s="351">
        <v>70.37870267915415</v>
      </c>
      <c r="E160" s="294"/>
      <c r="F160" s="695">
        <f t="shared" si="3"/>
        <v>66.79815956048141</v>
      </c>
    </row>
    <row r="161" spans="2:6" ht="12.75">
      <c r="B161" s="323" t="s">
        <v>99</v>
      </c>
      <c r="C161" s="344">
        <v>68.3</v>
      </c>
      <c r="D161" s="295">
        <v>72.8</v>
      </c>
      <c r="E161" s="294"/>
      <c r="F161" s="695">
        <f t="shared" si="3"/>
        <v>70.55</v>
      </c>
    </row>
    <row r="162" spans="2:6" ht="12.75">
      <c r="B162" s="323" t="s">
        <v>137</v>
      </c>
      <c r="C162" s="344">
        <v>52.1</v>
      </c>
      <c r="D162" s="295">
        <v>62.8</v>
      </c>
      <c r="E162" s="294"/>
      <c r="F162" s="695">
        <f t="shared" si="3"/>
        <v>57.45</v>
      </c>
    </row>
    <row r="163" spans="2:6" ht="12.75">
      <c r="B163" s="323" t="s">
        <v>238</v>
      </c>
      <c r="C163" s="351">
        <v>76.56723527157979</v>
      </c>
      <c r="D163" s="351">
        <v>85.24052296567709</v>
      </c>
      <c r="E163" s="295"/>
      <c r="F163" s="695">
        <f t="shared" si="3"/>
        <v>80.90387911862844</v>
      </c>
    </row>
    <row r="164" spans="2:6" ht="12.75">
      <c r="B164" s="321" t="s">
        <v>166</v>
      </c>
      <c r="C164" s="349"/>
      <c r="D164" s="306"/>
      <c r="E164" s="305"/>
      <c r="F164" s="695"/>
    </row>
    <row r="165" spans="2:6" ht="12.75">
      <c r="B165" s="323" t="s">
        <v>155</v>
      </c>
      <c r="C165" s="344">
        <v>49.5</v>
      </c>
      <c r="D165" s="295">
        <v>40</v>
      </c>
      <c r="E165" s="294"/>
      <c r="F165" s="695">
        <f t="shared" si="3"/>
        <v>44.75</v>
      </c>
    </row>
    <row r="166" spans="2:6" ht="12.75">
      <c r="B166" s="323" t="s">
        <v>13</v>
      </c>
      <c r="C166" s="351">
        <v>76.7878901282702</v>
      </c>
      <c r="D166" s="351">
        <v>85.48617288776838</v>
      </c>
      <c r="E166" s="294"/>
      <c r="F166" s="695">
        <f t="shared" si="3"/>
        <v>81.13703150801929</v>
      </c>
    </row>
    <row r="167" spans="2:6" ht="12.75">
      <c r="B167" s="323" t="s">
        <v>27</v>
      </c>
      <c r="C167" s="344">
        <v>79.1</v>
      </c>
      <c r="D167" s="295">
        <v>86</v>
      </c>
      <c r="E167" s="294"/>
      <c r="F167" s="695">
        <f t="shared" si="3"/>
        <v>82.55</v>
      </c>
    </row>
    <row r="168" spans="2:6" ht="12.75">
      <c r="B168" s="323" t="s">
        <v>62</v>
      </c>
      <c r="C168" s="344">
        <v>77.5</v>
      </c>
      <c r="D168" s="295">
        <v>86.3</v>
      </c>
      <c r="E168" s="294"/>
      <c r="F168" s="695">
        <f t="shared" si="3"/>
        <v>81.9</v>
      </c>
    </row>
    <row r="169" spans="2:6" ht="12.75">
      <c r="B169" s="323" t="s">
        <v>111</v>
      </c>
      <c r="C169" s="351">
        <v>46.97843543634826</v>
      </c>
      <c r="D169" s="295">
        <v>52.3</v>
      </c>
      <c r="E169" s="294"/>
      <c r="F169" s="695">
        <f t="shared" si="3"/>
        <v>49.63921771817413</v>
      </c>
    </row>
    <row r="170" spans="2:6" ht="12.75">
      <c r="B170" s="321" t="s">
        <v>188</v>
      </c>
      <c r="C170" s="349"/>
      <c r="D170" s="306"/>
      <c r="E170" s="305"/>
      <c r="F170" s="695"/>
    </row>
    <row r="171" spans="2:6" ht="12.75">
      <c r="B171" s="323" t="s">
        <v>112</v>
      </c>
      <c r="C171" s="344">
        <v>62</v>
      </c>
      <c r="D171" s="295">
        <v>69</v>
      </c>
      <c r="E171" s="294"/>
      <c r="F171" s="695">
        <f t="shared" si="3"/>
        <v>65.5</v>
      </c>
    </row>
    <row r="172" spans="2:6" ht="12.75">
      <c r="B172" s="323" t="s">
        <v>95</v>
      </c>
      <c r="C172" s="344">
        <v>75.2</v>
      </c>
      <c r="D172" s="295">
        <v>79.4</v>
      </c>
      <c r="E172" s="294"/>
      <c r="F172" s="695">
        <f t="shared" si="3"/>
        <v>77.30000000000001</v>
      </c>
    </row>
    <row r="173" spans="2:6" ht="12.75">
      <c r="B173" s="323" t="s">
        <v>37</v>
      </c>
      <c r="C173" s="344">
        <v>79.2</v>
      </c>
      <c r="D173" s="295">
        <v>83.1</v>
      </c>
      <c r="E173" s="294"/>
      <c r="F173" s="695">
        <f t="shared" si="3"/>
        <v>81.15</v>
      </c>
    </row>
    <row r="174" spans="2:6" ht="12.75">
      <c r="B174" s="323" t="s">
        <v>65</v>
      </c>
      <c r="C174" s="344">
        <v>64.6</v>
      </c>
      <c r="D174" s="295">
        <v>79.5</v>
      </c>
      <c r="E174" s="294"/>
      <c r="F174" s="695">
        <f t="shared" si="3"/>
        <v>72.05</v>
      </c>
    </row>
    <row r="175" spans="2:6" ht="12.75">
      <c r="B175" s="323" t="s">
        <v>124</v>
      </c>
      <c r="C175" s="344">
        <v>44</v>
      </c>
      <c r="D175" s="295">
        <v>55.5</v>
      </c>
      <c r="E175" s="294"/>
      <c r="F175" s="695">
        <f t="shared" si="3"/>
        <v>49.75</v>
      </c>
    </row>
    <row r="176" spans="2:6" ht="12.75">
      <c r="B176" s="323" t="s">
        <v>49</v>
      </c>
      <c r="C176" s="344">
        <v>72.9</v>
      </c>
      <c r="D176" s="351">
        <v>83.76662343312937</v>
      </c>
      <c r="E176" s="294"/>
      <c r="F176" s="695">
        <f t="shared" si="3"/>
        <v>78.33331171656468</v>
      </c>
    </row>
    <row r="177" spans="2:6" ht="12.75">
      <c r="B177" s="323" t="s">
        <v>101</v>
      </c>
      <c r="C177" s="344">
        <v>53.9</v>
      </c>
      <c r="D177" s="295">
        <v>61.3</v>
      </c>
      <c r="E177" s="294"/>
      <c r="F177" s="695">
        <f t="shared" si="3"/>
        <v>57.599999999999994</v>
      </c>
    </row>
    <row r="178" spans="2:6" ht="12.75">
      <c r="B178" s="323" t="s">
        <v>19</v>
      </c>
      <c r="C178" s="344">
        <v>87.8</v>
      </c>
      <c r="D178" s="295">
        <v>93.1</v>
      </c>
      <c r="E178" s="294"/>
      <c r="F178" s="695">
        <f t="shared" si="3"/>
        <v>90.44999999999999</v>
      </c>
    </row>
    <row r="179" spans="2:6" ht="12.75">
      <c r="B179" s="323" t="s">
        <v>17</v>
      </c>
      <c r="C179" s="344">
        <v>81.4</v>
      </c>
      <c r="D179" s="295">
        <v>95.5</v>
      </c>
      <c r="E179" s="294"/>
      <c r="F179" s="695">
        <f t="shared" si="3"/>
        <v>88.45</v>
      </c>
    </row>
    <row r="180" spans="2:6" ht="12.75">
      <c r="B180" s="323" t="s">
        <v>63</v>
      </c>
      <c r="C180" s="344">
        <v>55.3</v>
      </c>
      <c r="D180" s="295">
        <v>68.2</v>
      </c>
      <c r="E180" s="294"/>
      <c r="F180" s="695">
        <f t="shared" si="3"/>
        <v>61.75</v>
      </c>
    </row>
    <row r="181" spans="2:6" ht="12.75">
      <c r="B181" s="321" t="s">
        <v>192</v>
      </c>
      <c r="C181" s="344">
        <v>79.1</v>
      </c>
      <c r="D181" s="295">
        <v>80.8</v>
      </c>
      <c r="E181" s="351"/>
      <c r="F181" s="695">
        <f t="shared" si="3"/>
        <v>79.94999999999999</v>
      </c>
    </row>
    <row r="182" spans="2:6" ht="12.75">
      <c r="B182" s="323" t="s">
        <v>109</v>
      </c>
      <c r="C182" s="344">
        <v>48.2</v>
      </c>
      <c r="D182" s="295">
        <v>72.3</v>
      </c>
      <c r="E182" s="294"/>
      <c r="F182" s="695">
        <f t="shared" si="3"/>
        <v>60.25</v>
      </c>
    </row>
    <row r="183" spans="2:6" ht="12.75">
      <c r="B183" s="323" t="s">
        <v>121</v>
      </c>
      <c r="C183" s="344">
        <v>59</v>
      </c>
      <c r="D183" s="295">
        <v>63.9</v>
      </c>
      <c r="E183" s="294"/>
      <c r="F183" s="695">
        <f t="shared" si="3"/>
        <v>61.45</v>
      </c>
    </row>
    <row r="184" spans="2:6" ht="12.75">
      <c r="B184" s="323" t="s">
        <v>72</v>
      </c>
      <c r="C184" s="344">
        <v>66.8</v>
      </c>
      <c r="D184" s="295">
        <v>79.2</v>
      </c>
      <c r="E184" s="294"/>
      <c r="F184" s="695">
        <f t="shared" si="3"/>
        <v>73</v>
      </c>
    </row>
    <row r="185" spans="2:6" ht="12.75">
      <c r="B185" s="321" t="s">
        <v>185</v>
      </c>
      <c r="C185" s="349"/>
      <c r="D185" s="306"/>
      <c r="E185" s="305"/>
      <c r="F185" s="695"/>
    </row>
    <row r="186" spans="2:6" ht="12.75">
      <c r="B186" s="323" t="s">
        <v>151</v>
      </c>
      <c r="C186" s="344">
        <v>52.8</v>
      </c>
      <c r="D186" s="295">
        <v>62.3</v>
      </c>
      <c r="E186" s="294"/>
      <c r="F186" s="695">
        <f t="shared" si="3"/>
        <v>57.55</v>
      </c>
    </row>
    <row r="187" spans="2:6" ht="12.75">
      <c r="B187" s="321" t="s">
        <v>178</v>
      </c>
      <c r="C187" s="349"/>
      <c r="D187" s="306"/>
      <c r="E187" s="305"/>
      <c r="F187" s="695"/>
    </row>
    <row r="188" spans="2:17" ht="12.75">
      <c r="B188" s="323" t="s">
        <v>103</v>
      </c>
      <c r="C188" s="344">
        <v>76.9</v>
      </c>
      <c r="D188" s="295">
        <v>70.4</v>
      </c>
      <c r="E188" s="294"/>
      <c r="F188" s="695">
        <f t="shared" si="3"/>
        <v>73.65</v>
      </c>
      <c r="O188" s="138">
        <v>11394000</v>
      </c>
      <c r="P188">
        <f>C162*O188</f>
        <v>593627400</v>
      </c>
      <c r="Q188">
        <f>D162*O188</f>
        <v>715543200</v>
      </c>
    </row>
    <row r="189" spans="2:17" ht="12.75">
      <c r="B189" s="323" t="s">
        <v>78</v>
      </c>
      <c r="C189" s="344">
        <v>60</v>
      </c>
      <c r="D189" s="295">
        <v>78.1</v>
      </c>
      <c r="E189" s="294"/>
      <c r="F189" s="695">
        <f t="shared" si="3"/>
        <v>69.05</v>
      </c>
      <c r="O189" s="138">
        <v>9233000</v>
      </c>
      <c r="P189">
        <f>C163*O189</f>
        <v>706945283.2624962</v>
      </c>
      <c r="Q189">
        <f>D163*O189</f>
        <v>787025748.5420965</v>
      </c>
    </row>
    <row r="190" spans="2:15" ht="12.75">
      <c r="B190" s="323" t="s">
        <v>81</v>
      </c>
      <c r="C190" s="344">
        <v>72.8</v>
      </c>
      <c r="D190" s="295">
        <v>75.9</v>
      </c>
      <c r="E190" s="294"/>
      <c r="F190" s="695">
        <f t="shared" si="3"/>
        <v>74.35</v>
      </c>
      <c r="O190" s="138"/>
    </row>
    <row r="191" spans="2:17" ht="12.75">
      <c r="B191" s="323" t="s">
        <v>14</v>
      </c>
      <c r="C191" s="294">
        <v>64.04517106331991</v>
      </c>
      <c r="D191" s="295">
        <v>71.3</v>
      </c>
      <c r="E191" s="294"/>
      <c r="F191" s="695">
        <f t="shared" si="3"/>
        <v>67.67258553165996</v>
      </c>
      <c r="O191" s="138">
        <v>4918000</v>
      </c>
      <c r="P191">
        <f>C165*O191</f>
        <v>243441000</v>
      </c>
      <c r="Q191">
        <f>D165*O191</f>
        <v>196720000</v>
      </c>
    </row>
    <row r="192" spans="2:17" ht="12.75">
      <c r="B192" s="323" t="s">
        <v>115</v>
      </c>
      <c r="C192" s="344">
        <v>60.8</v>
      </c>
      <c r="D192" s="295">
        <v>61.6</v>
      </c>
      <c r="E192" s="294"/>
      <c r="F192" s="695">
        <f t="shared" si="3"/>
        <v>61.2</v>
      </c>
      <c r="O192" s="138">
        <v>4553000</v>
      </c>
      <c r="P192">
        <f>C166*O192</f>
        <v>349615263.75401425</v>
      </c>
      <c r="Q192">
        <f>D166*O192</f>
        <v>389218545.1580094</v>
      </c>
    </row>
    <row r="193" spans="2:17" ht="12.75">
      <c r="B193" s="323" t="s">
        <v>15</v>
      </c>
      <c r="C193" s="344">
        <v>71.2</v>
      </c>
      <c r="D193" s="295">
        <v>74.1</v>
      </c>
      <c r="E193" s="294"/>
      <c r="F193" s="695">
        <f t="shared" si="3"/>
        <v>72.65</v>
      </c>
      <c r="O193" s="138">
        <v>5448000</v>
      </c>
      <c r="P193">
        <f>C167*O193</f>
        <v>430936799.99999994</v>
      </c>
      <c r="Q193">
        <f>D167*O193</f>
        <v>468528000</v>
      </c>
    </row>
    <row r="194" spans="2:17" ht="12.75">
      <c r="B194" s="321" t="s">
        <v>145</v>
      </c>
      <c r="C194" s="344">
        <v>73.2</v>
      </c>
      <c r="D194" s="295">
        <v>64</v>
      </c>
      <c r="E194" s="294"/>
      <c r="F194" s="695">
        <f t="shared" si="3"/>
        <v>68.6</v>
      </c>
      <c r="O194" s="138">
        <v>2009000</v>
      </c>
      <c r="P194">
        <f>C168*O194</f>
        <v>155697500</v>
      </c>
      <c r="Q194">
        <f>D168*O194</f>
        <v>173376700</v>
      </c>
    </row>
    <row r="195" spans="2:17" ht="12.75">
      <c r="B195" s="323" t="s">
        <v>28</v>
      </c>
      <c r="C195" s="344">
        <v>85.6</v>
      </c>
      <c r="D195" s="295">
        <v>86.3</v>
      </c>
      <c r="E195" s="294"/>
      <c r="F195" s="695">
        <f t="shared" si="3"/>
        <v>85.94999999999999</v>
      </c>
      <c r="O195" s="138">
        <v>521000</v>
      </c>
      <c r="P195">
        <f>C169*O195</f>
        <v>24475764.862337444</v>
      </c>
      <c r="Q195">
        <f>D169*O195</f>
        <v>27248300</v>
      </c>
    </row>
    <row r="196" spans="2:15" ht="12.75">
      <c r="B196" s="321" t="s">
        <v>287</v>
      </c>
      <c r="C196" s="344">
        <v>78.5</v>
      </c>
      <c r="D196" s="295">
        <v>81</v>
      </c>
      <c r="E196" s="294"/>
      <c r="F196" s="695">
        <f t="shared" si="3"/>
        <v>79.75</v>
      </c>
      <c r="O196" s="138"/>
    </row>
    <row r="197" spans="2:17" ht="12.75">
      <c r="B197" s="323" t="s">
        <v>86</v>
      </c>
      <c r="C197" s="351">
        <v>73.92591274209298</v>
      </c>
      <c r="D197" s="295">
        <v>82.3</v>
      </c>
      <c r="E197" s="294"/>
      <c r="F197" s="695">
        <f t="shared" si="3"/>
        <v>78.1129563710465</v>
      </c>
      <c r="O197" s="138">
        <v>48367000</v>
      </c>
      <c r="P197">
        <f aca="true" t="shared" si="4" ref="P197:P210">C171*O197</f>
        <v>2998754000</v>
      </c>
      <c r="Q197">
        <f aca="true" t="shared" si="5" ref="Q197:Q210">D171*O197</f>
        <v>3337323000</v>
      </c>
    </row>
    <row r="198" spans="2:17" ht="12.75">
      <c r="B198" s="323" t="s">
        <v>138</v>
      </c>
      <c r="C198" s="344">
        <v>52.3</v>
      </c>
      <c r="D198" s="295">
        <v>65</v>
      </c>
      <c r="E198" s="294"/>
      <c r="F198" s="695">
        <f t="shared" si="3"/>
        <v>58.65</v>
      </c>
      <c r="O198" s="138">
        <v>48250000</v>
      </c>
      <c r="P198">
        <f t="shared" si="4"/>
        <v>3628400000</v>
      </c>
      <c r="Q198">
        <f t="shared" si="5"/>
        <v>3831050000.0000005</v>
      </c>
    </row>
    <row r="199" spans="2:17" ht="12.75">
      <c r="B199" s="321" t="s">
        <v>182</v>
      </c>
      <c r="C199" s="349"/>
      <c r="D199" s="306"/>
      <c r="E199" s="305"/>
      <c r="F199" s="695"/>
      <c r="O199" s="138">
        <v>45212000</v>
      </c>
      <c r="P199">
        <f t="shared" si="4"/>
        <v>3580790400</v>
      </c>
      <c r="Q199">
        <f t="shared" si="5"/>
        <v>3757117199.9999995</v>
      </c>
    </row>
    <row r="200" spans="2:17" ht="12.75">
      <c r="B200" s="323" t="s">
        <v>70</v>
      </c>
      <c r="C200" s="344">
        <v>74.1</v>
      </c>
      <c r="D200" s="295">
        <v>80</v>
      </c>
      <c r="E200" s="294"/>
      <c r="F200" s="695">
        <f t="shared" si="3"/>
        <v>77.05</v>
      </c>
      <c r="O200" s="138">
        <v>20926000</v>
      </c>
      <c r="P200">
        <f t="shared" si="4"/>
        <v>1351819600</v>
      </c>
      <c r="Q200">
        <f t="shared" si="5"/>
        <v>1663617000</v>
      </c>
    </row>
    <row r="201" spans="2:17" ht="12.75">
      <c r="B201" s="323" t="s">
        <v>205</v>
      </c>
      <c r="C201" s="344">
        <v>54.3</v>
      </c>
      <c r="D201" s="295">
        <v>73.9</v>
      </c>
      <c r="E201" s="294"/>
      <c r="F201" s="695">
        <f t="shared" si="3"/>
        <v>64.1</v>
      </c>
      <c r="O201" s="138">
        <v>40526000</v>
      </c>
      <c r="P201">
        <f t="shared" si="4"/>
        <v>1783144000</v>
      </c>
      <c r="Q201">
        <f t="shared" si="5"/>
        <v>2249193000</v>
      </c>
    </row>
    <row r="202" spans="2:17" ht="12.75">
      <c r="B202" s="321" t="s">
        <v>181</v>
      </c>
      <c r="C202" s="349"/>
      <c r="D202" s="306"/>
      <c r="E202" s="305"/>
      <c r="F202" s="695"/>
      <c r="O202" s="138">
        <v>471000</v>
      </c>
      <c r="P202">
        <f t="shared" si="4"/>
        <v>34335900</v>
      </c>
      <c r="Q202">
        <f t="shared" si="5"/>
        <v>39454079.637003936</v>
      </c>
    </row>
    <row r="203" spans="2:17" ht="12.75">
      <c r="B203" s="323" t="s">
        <v>119</v>
      </c>
      <c r="C203" s="344">
        <v>45.2</v>
      </c>
      <c r="D203" s="295">
        <v>49.7</v>
      </c>
      <c r="E203" s="294"/>
      <c r="F203" s="695">
        <f t="shared" si="3"/>
        <v>47.45</v>
      </c>
      <c r="O203" s="138">
        <v>1300000</v>
      </c>
      <c r="P203">
        <f t="shared" si="4"/>
        <v>70070000</v>
      </c>
      <c r="Q203">
        <f t="shared" si="5"/>
        <v>79690000</v>
      </c>
    </row>
    <row r="204" spans="2:17" ht="12.75">
      <c r="B204" s="323" t="s">
        <v>125</v>
      </c>
      <c r="C204" s="344">
        <v>54.4</v>
      </c>
      <c r="D204" s="295">
        <v>55.1</v>
      </c>
      <c r="E204" s="294"/>
      <c r="F204" s="695">
        <f t="shared" si="3"/>
        <v>54.75</v>
      </c>
      <c r="O204" s="138">
        <v>9031000</v>
      </c>
      <c r="P204">
        <f t="shared" si="4"/>
        <v>792921800</v>
      </c>
      <c r="Q204">
        <f t="shared" si="5"/>
        <v>840786100</v>
      </c>
    </row>
    <row r="205" spans="2:17" ht="12.75">
      <c r="B205" s="323" t="s">
        <v>122</v>
      </c>
      <c r="C205" s="344">
        <v>63</v>
      </c>
      <c r="D205" s="295">
        <v>69.3</v>
      </c>
      <c r="E205" s="294"/>
      <c r="F205" s="695">
        <f t="shared" si="3"/>
        <v>66.15</v>
      </c>
      <c r="O205" s="138">
        <v>7589000</v>
      </c>
      <c r="P205">
        <f t="shared" si="4"/>
        <v>617744600</v>
      </c>
      <c r="Q205">
        <f t="shared" si="5"/>
        <v>724749500</v>
      </c>
    </row>
    <row r="206" spans="2:17" ht="12.75">
      <c r="B206" s="323" t="s">
        <v>406</v>
      </c>
      <c r="C206" s="344">
        <v>59.944355774418966</v>
      </c>
      <c r="D206" s="344">
        <v>68.87615276098988</v>
      </c>
      <c r="E206" s="294"/>
      <c r="F206" s="695">
        <v>61.10108886782465</v>
      </c>
      <c r="O206" s="138">
        <v>20488000</v>
      </c>
      <c r="P206">
        <f t="shared" si="4"/>
        <v>1132986400</v>
      </c>
      <c r="Q206">
        <f t="shared" si="5"/>
        <v>1397281600</v>
      </c>
    </row>
    <row r="207" spans="15:17" ht="12.75">
      <c r="O207" s="138">
        <v>22859000</v>
      </c>
      <c r="P207">
        <f t="shared" si="4"/>
        <v>1808146899.9999998</v>
      </c>
      <c r="Q207">
        <f t="shared" si="5"/>
        <v>1847007200</v>
      </c>
    </row>
    <row r="208" spans="15:17" ht="12.75">
      <c r="O208" s="138">
        <v>7077000</v>
      </c>
      <c r="P208">
        <f t="shared" si="4"/>
        <v>341111400</v>
      </c>
      <c r="Q208">
        <f t="shared" si="5"/>
        <v>511667100</v>
      </c>
    </row>
    <row r="209" spans="15:17" ht="12.75">
      <c r="O209" s="138">
        <v>39384000</v>
      </c>
      <c r="P209">
        <f t="shared" si="4"/>
        <v>2323656000</v>
      </c>
      <c r="Q209">
        <f t="shared" si="5"/>
        <v>2516637600</v>
      </c>
    </row>
    <row r="210" spans="15:17" ht="12.75">
      <c r="O210" s="138">
        <v>65717000</v>
      </c>
      <c r="P210">
        <f t="shared" si="4"/>
        <v>4389895600</v>
      </c>
      <c r="Q210">
        <f t="shared" si="5"/>
        <v>5204786400</v>
      </c>
    </row>
    <row r="211" ht="12.75">
      <c r="O211" s="138"/>
    </row>
    <row r="212" spans="15:17" ht="12.75">
      <c r="O212" s="138">
        <v>6042000</v>
      </c>
      <c r="P212">
        <f>C186*O212</f>
        <v>319017600</v>
      </c>
      <c r="Q212">
        <f>D186*O212</f>
        <v>376416600</v>
      </c>
    </row>
    <row r="213" ht="12.75">
      <c r="O213" s="138"/>
    </row>
    <row r="214" spans="15:17" ht="12.75">
      <c r="O214" s="138">
        <v>1233000</v>
      </c>
      <c r="P214">
        <f aca="true" t="shared" si="6" ref="P214:P224">C188*O214</f>
        <v>94817700</v>
      </c>
      <c r="Q214">
        <f aca="true" t="shared" si="7" ref="Q214:Q224">D188*O214</f>
        <v>86803200</v>
      </c>
    </row>
    <row r="215" spans="15:17" ht="12.75">
      <c r="O215" s="138">
        <v>10281000</v>
      </c>
      <c r="P215">
        <f t="shared" si="6"/>
        <v>616860000</v>
      </c>
      <c r="Q215">
        <f t="shared" si="7"/>
        <v>802946100</v>
      </c>
    </row>
    <row r="216" spans="15:17" ht="12.75">
      <c r="O216" s="138">
        <v>74768000</v>
      </c>
      <c r="P216">
        <f t="shared" si="6"/>
        <v>5443110400</v>
      </c>
      <c r="Q216">
        <f t="shared" si="7"/>
        <v>5674891200</v>
      </c>
    </row>
    <row r="217" spans="15:17" ht="12.75">
      <c r="O217" s="138">
        <v>4774000</v>
      </c>
      <c r="P217">
        <f t="shared" si="6"/>
        <v>305751646.6562893</v>
      </c>
      <c r="Q217">
        <f t="shared" si="7"/>
        <v>340386200</v>
      </c>
    </row>
    <row r="218" spans="15:17" ht="12.75">
      <c r="O218" s="138">
        <v>30263000</v>
      </c>
      <c r="P218">
        <f t="shared" si="6"/>
        <v>1839990400</v>
      </c>
      <c r="Q218">
        <f t="shared" si="7"/>
        <v>1864200800</v>
      </c>
    </row>
    <row r="219" spans="15:17" ht="12.75">
      <c r="O219" s="138">
        <v>46300000</v>
      </c>
      <c r="P219">
        <f t="shared" si="6"/>
        <v>3296560000</v>
      </c>
      <c r="Q219">
        <f t="shared" si="7"/>
        <v>3430829999.9999995</v>
      </c>
    </row>
    <row r="220" spans="15:17" ht="12.75">
      <c r="O220" s="138">
        <v>4444000</v>
      </c>
      <c r="P220">
        <f t="shared" si="6"/>
        <v>325300800</v>
      </c>
      <c r="Q220">
        <f t="shared" si="7"/>
        <v>284416000</v>
      </c>
    </row>
    <row r="221" spans="15:17" ht="12.75">
      <c r="O221" s="138">
        <v>61506000</v>
      </c>
      <c r="P221">
        <f t="shared" si="6"/>
        <v>5264913600</v>
      </c>
      <c r="Q221">
        <f t="shared" si="7"/>
        <v>5307967800</v>
      </c>
    </row>
    <row r="222" spans="15:17" ht="12.75">
      <c r="O222" s="138">
        <v>301580000</v>
      </c>
      <c r="P222">
        <f t="shared" si="6"/>
        <v>23674030000</v>
      </c>
      <c r="Q222">
        <f t="shared" si="7"/>
        <v>24427980000</v>
      </c>
    </row>
    <row r="223" spans="15:17" ht="12.75">
      <c r="O223" s="138">
        <v>3461000</v>
      </c>
      <c r="P223">
        <f t="shared" si="6"/>
        <v>255857584.0003838</v>
      </c>
      <c r="Q223">
        <f t="shared" si="7"/>
        <v>284840300</v>
      </c>
    </row>
    <row r="224" spans="15:17" ht="12.75">
      <c r="O224" s="138">
        <v>27079000</v>
      </c>
      <c r="P224">
        <f t="shared" si="6"/>
        <v>1416231700</v>
      </c>
      <c r="Q224">
        <f t="shared" si="7"/>
        <v>1760135000</v>
      </c>
    </row>
    <row r="225" ht="12.75">
      <c r="O225" s="138"/>
    </row>
    <row r="226" spans="15:17" ht="12.75">
      <c r="O226" s="138">
        <v>26024000</v>
      </c>
      <c r="P226">
        <f>C200*O226</f>
        <v>1928378399.9999998</v>
      </c>
      <c r="Q226">
        <f>D200*O226</f>
        <v>2081920000</v>
      </c>
    </row>
    <row r="227" spans="15:17" ht="12.75">
      <c r="O227" s="138">
        <v>86519000</v>
      </c>
      <c r="P227">
        <f>C201*O227</f>
        <v>4697981700</v>
      </c>
      <c r="Q227">
        <f>D201*O227</f>
        <v>6393754100.000001</v>
      </c>
    </row>
    <row r="228" ht="12.75">
      <c r="O228" s="138"/>
    </row>
    <row r="229" spans="15:17" ht="12.75">
      <c r="O229" s="138">
        <v>21591000</v>
      </c>
      <c r="P229">
        <f>C203*O229</f>
        <v>975913200.0000001</v>
      </c>
      <c r="Q229">
        <f>D203*O229</f>
        <v>1073072700.0000001</v>
      </c>
    </row>
    <row r="230" spans="15:17" ht="12.75">
      <c r="O230" s="138">
        <v>12341000</v>
      </c>
      <c r="P230">
        <f>C204*O230</f>
        <v>671350400</v>
      </c>
      <c r="Q230">
        <f>D204*O230</f>
        <v>679989100</v>
      </c>
    </row>
    <row r="231" spans="15:17" ht="12.75">
      <c r="O231" s="138">
        <v>11443000</v>
      </c>
      <c r="P231">
        <f>C205*O231</f>
        <v>720909000</v>
      </c>
      <c r="Q231">
        <f>D205*O231</f>
        <v>792999900</v>
      </c>
    </row>
    <row r="232" spans="15:17" ht="12.75">
      <c r="O232" s="138">
        <f>SUM(O188:O231)</f>
        <v>1144922000</v>
      </c>
      <c r="P232">
        <f>SUM(P188:P231)</f>
        <v>79205489742.53552</v>
      </c>
      <c r="Q232">
        <f>SUM(Q188:Q231)</f>
        <v>86421569273.33711</v>
      </c>
    </row>
    <row r="233" spans="16:17" ht="12.75">
      <c r="P233" s="88">
        <f>P232/O232</f>
        <v>69.17981289776554</v>
      </c>
      <c r="Q233" s="88">
        <f>Q232/O232</f>
        <v>75.48249511611893</v>
      </c>
    </row>
  </sheetData>
  <sheetProtection/>
  <hyperlinks>
    <hyperlink ref="A3" r:id="rId1" display="Kilder"/>
  </hyperlinks>
  <printOptions/>
  <pageMargins left="0.75" right="0.75" top="1" bottom="1" header="0" footer="0"/>
  <pageSetup horizontalDpi="300" verticalDpi="300" orientation="portrait" paperSize="9" r:id="rId4"/>
  <legacyDrawing r:id="rId3"/>
</worksheet>
</file>

<file path=xl/worksheets/sheet6.xml><?xml version="1.0" encoding="utf-8"?>
<worksheet xmlns="http://schemas.openxmlformats.org/spreadsheetml/2006/main" xmlns:r="http://schemas.openxmlformats.org/officeDocument/2006/relationships">
  <sheetPr>
    <tabColor theme="0" tint="-0.24997000396251678"/>
  </sheetPr>
  <dimension ref="A1:J213"/>
  <sheetViews>
    <sheetView zoomScalePageLayoutView="0" workbookViewId="0" topLeftCell="A1">
      <selection activeCell="A2" sqref="A2:C2"/>
    </sheetView>
  </sheetViews>
  <sheetFormatPr defaultColWidth="9.140625" defaultRowHeight="12.75"/>
  <cols>
    <col min="2" max="2" width="20.421875" style="0" customWidth="1"/>
    <col min="8" max="8" width="20.57421875" style="0" hidden="1" customWidth="1"/>
    <col min="9" max="10" width="11.00390625" style="0" hidden="1" customWidth="1"/>
  </cols>
  <sheetData>
    <row r="1" ht="12.75">
      <c r="A1" s="115" t="s">
        <v>433</v>
      </c>
    </row>
    <row r="2" spans="1:3" ht="12.75">
      <c r="A2" s="314" t="s">
        <v>429</v>
      </c>
      <c r="C2" s="1"/>
    </row>
    <row r="3" ht="12.75">
      <c r="A3" s="336" t="s">
        <v>203</v>
      </c>
    </row>
    <row r="10" spans="2:5" ht="12.75">
      <c r="B10" s="362" t="s">
        <v>414</v>
      </c>
      <c r="C10" s="361"/>
      <c r="D10" s="669" t="s">
        <v>415</v>
      </c>
      <c r="E10" s="320"/>
    </row>
    <row r="11" spans="2:10" ht="12.75">
      <c r="B11" s="348" t="s">
        <v>416</v>
      </c>
      <c r="C11" s="289">
        <v>2006</v>
      </c>
      <c r="D11" s="289">
        <v>2008</v>
      </c>
      <c r="E11" s="289" t="s">
        <v>417</v>
      </c>
      <c r="H11" s="674" t="s">
        <v>419</v>
      </c>
      <c r="I11">
        <v>2006</v>
      </c>
      <c r="J11">
        <v>2008</v>
      </c>
    </row>
    <row r="12" spans="2:5" ht="12.75">
      <c r="B12" s="323" t="s">
        <v>418</v>
      </c>
      <c r="C12" s="670">
        <v>1.0545552772673872</v>
      </c>
      <c r="D12" s="670">
        <v>1.187523917505835</v>
      </c>
      <c r="E12" s="671">
        <f>SUM(C12:D12)/2</f>
        <v>1.121039597386611</v>
      </c>
    </row>
    <row r="13" spans="2:10" ht="12.75">
      <c r="B13" s="321" t="s">
        <v>187</v>
      </c>
      <c r="C13" s="606">
        <v>0.09</v>
      </c>
      <c r="D13" s="606">
        <v>0.5</v>
      </c>
      <c r="E13" s="671">
        <f>SUM(C13:D13)/2</f>
        <v>0.295</v>
      </c>
      <c r="H13" s="138">
        <v>26912000</v>
      </c>
      <c r="I13">
        <f>C13*H13</f>
        <v>2422080</v>
      </c>
      <c r="J13">
        <f>D13*H13</f>
        <v>13456000</v>
      </c>
    </row>
    <row r="14" spans="2:10" ht="12.75">
      <c r="B14" s="323" t="s">
        <v>35</v>
      </c>
      <c r="C14" s="606">
        <v>0.82</v>
      </c>
      <c r="D14" s="606">
        <v>1.09</v>
      </c>
      <c r="E14" s="671">
        <f aca="true" t="shared" si="0" ref="E14:E77">SUM(C14:D14)/2</f>
        <v>0.9550000000000001</v>
      </c>
      <c r="H14" s="138">
        <v>2992000</v>
      </c>
      <c r="I14">
        <f aca="true" t="shared" si="1" ref="I14:I19">C14*H14</f>
        <v>2453440</v>
      </c>
      <c r="J14">
        <f aca="true" t="shared" si="2" ref="J14:J19">D14*H14</f>
        <v>3261280.0000000005</v>
      </c>
    </row>
    <row r="15" spans="2:10" ht="12.75">
      <c r="B15" s="323" t="s">
        <v>51</v>
      </c>
      <c r="C15" s="606">
        <v>0.75</v>
      </c>
      <c r="D15" s="606">
        <v>1.01</v>
      </c>
      <c r="E15" s="671">
        <f t="shared" si="0"/>
        <v>0.88</v>
      </c>
      <c r="H15" s="138">
        <v>33363000</v>
      </c>
      <c r="I15">
        <f t="shared" si="1"/>
        <v>25022250</v>
      </c>
      <c r="J15">
        <f t="shared" si="2"/>
        <v>33696630</v>
      </c>
    </row>
    <row r="16" spans="2:10" ht="12.75">
      <c r="B16" s="323" t="s">
        <v>152</v>
      </c>
      <c r="C16" s="606">
        <v>0.82</v>
      </c>
      <c r="D16" s="606">
        <v>0.75</v>
      </c>
      <c r="E16" s="671">
        <f t="shared" si="0"/>
        <v>0.7849999999999999</v>
      </c>
      <c r="H16" s="138">
        <v>12264000</v>
      </c>
      <c r="I16">
        <f t="shared" si="1"/>
        <v>10056480</v>
      </c>
      <c r="J16">
        <f t="shared" si="2"/>
        <v>9198000</v>
      </c>
    </row>
    <row r="17" spans="2:10" ht="12.75">
      <c r="B17" s="323" t="s">
        <v>39</v>
      </c>
      <c r="C17" s="322"/>
      <c r="D17" s="322"/>
      <c r="E17" s="671"/>
      <c r="H17" s="138">
        <v>83000</v>
      </c>
      <c r="I17">
        <f t="shared" si="1"/>
        <v>0</v>
      </c>
      <c r="J17">
        <f t="shared" si="2"/>
        <v>0</v>
      </c>
    </row>
    <row r="18" spans="2:10" ht="12.75">
      <c r="B18" s="323" t="s">
        <v>75</v>
      </c>
      <c r="C18" s="606">
        <v>1.57</v>
      </c>
      <c r="D18" s="606">
        <v>1.87</v>
      </c>
      <c r="E18" s="671">
        <f t="shared" si="0"/>
        <v>1.7200000000000002</v>
      </c>
      <c r="H18" s="138">
        <v>40049000</v>
      </c>
      <c r="I18">
        <f t="shared" si="1"/>
        <v>62876930</v>
      </c>
      <c r="J18">
        <f t="shared" si="2"/>
        <v>74891630</v>
      </c>
    </row>
    <row r="19" spans="2:10" ht="12.75">
      <c r="B19" s="323" t="s">
        <v>80</v>
      </c>
      <c r="C19" s="606">
        <v>0.71</v>
      </c>
      <c r="D19" s="606">
        <v>0.8</v>
      </c>
      <c r="E19" s="671">
        <f t="shared" si="0"/>
        <v>0.755</v>
      </c>
      <c r="H19" s="138">
        <v>2972000</v>
      </c>
      <c r="I19">
        <f t="shared" si="1"/>
        <v>2110120</v>
      </c>
      <c r="J19">
        <f t="shared" si="2"/>
        <v>2377600</v>
      </c>
    </row>
    <row r="20" spans="2:10" ht="12.75">
      <c r="B20" s="321" t="s">
        <v>160</v>
      </c>
      <c r="C20" s="322"/>
      <c r="D20" s="322"/>
      <c r="E20" s="671"/>
      <c r="H20" s="138">
        <v>100000</v>
      </c>
      <c r="I20">
        <f aca="true" t="shared" si="3" ref="I20:I83">C20*H20</f>
        <v>0</v>
      </c>
      <c r="J20">
        <f aca="true" t="shared" si="4" ref="J20:J83">D20*H20</f>
        <v>0</v>
      </c>
    </row>
    <row r="21" spans="2:10" ht="12.75">
      <c r="B21" s="323" t="s">
        <v>59</v>
      </c>
      <c r="C21" s="606">
        <v>3.19</v>
      </c>
      <c r="D21" s="606">
        <v>5.82</v>
      </c>
      <c r="E21" s="671">
        <f t="shared" si="0"/>
        <v>4.505</v>
      </c>
      <c r="H21" s="138">
        <v>20750000</v>
      </c>
      <c r="I21">
        <f t="shared" si="3"/>
        <v>66192500</v>
      </c>
      <c r="J21">
        <f t="shared" si="4"/>
        <v>120765000</v>
      </c>
    </row>
    <row r="22" spans="2:10" ht="12.75">
      <c r="B22" s="323" t="s">
        <v>23</v>
      </c>
      <c r="C22" s="606">
        <v>2.08</v>
      </c>
      <c r="D22" s="606">
        <v>1.93</v>
      </c>
      <c r="E22" s="671">
        <f t="shared" si="0"/>
        <v>2.005</v>
      </c>
      <c r="H22" s="138">
        <v>8200000</v>
      </c>
      <c r="I22">
        <f t="shared" si="3"/>
        <v>17056000</v>
      </c>
      <c r="J22">
        <f t="shared" si="4"/>
        <v>15826000</v>
      </c>
    </row>
    <row r="23" spans="2:10" ht="12.75">
      <c r="B23" s="323" t="s">
        <v>87</v>
      </c>
      <c r="C23" s="606">
        <v>0.61</v>
      </c>
      <c r="D23" s="606">
        <v>1</v>
      </c>
      <c r="E23" s="671">
        <f t="shared" si="0"/>
        <v>0.8049999999999999</v>
      </c>
      <c r="H23" s="138">
        <v>8120000</v>
      </c>
      <c r="I23">
        <f t="shared" si="3"/>
        <v>4953200</v>
      </c>
      <c r="J23">
        <f t="shared" si="4"/>
        <v>8120000</v>
      </c>
    </row>
    <row r="24" spans="2:10" ht="12.75">
      <c r="B24" s="321" t="s">
        <v>167</v>
      </c>
      <c r="C24" s="322"/>
      <c r="D24" s="322"/>
      <c r="E24" s="671"/>
      <c r="H24" s="138">
        <v>302000</v>
      </c>
      <c r="I24">
        <f t="shared" si="3"/>
        <v>0</v>
      </c>
      <c r="J24">
        <f t="shared" si="4"/>
        <v>0</v>
      </c>
    </row>
    <row r="25" spans="2:10" ht="12.75">
      <c r="B25" s="323" t="s">
        <v>0</v>
      </c>
      <c r="C25" s="322"/>
      <c r="D25" s="322"/>
      <c r="E25" s="671"/>
      <c r="H25" s="138">
        <v>709000</v>
      </c>
      <c r="I25">
        <f t="shared" si="3"/>
        <v>0</v>
      </c>
      <c r="J25">
        <f t="shared" si="4"/>
        <v>0</v>
      </c>
    </row>
    <row r="26" spans="2:10" ht="12.75">
      <c r="B26" s="323" t="s">
        <v>133</v>
      </c>
      <c r="C26" s="606">
        <v>0.41</v>
      </c>
      <c r="D26" s="606">
        <v>0.47</v>
      </c>
      <c r="E26" s="671">
        <f t="shared" si="0"/>
        <v>0.43999999999999995</v>
      </c>
      <c r="H26" s="138">
        <v>148894000</v>
      </c>
      <c r="I26">
        <f t="shared" si="3"/>
        <v>61046540</v>
      </c>
      <c r="J26">
        <f t="shared" si="4"/>
        <v>69980180</v>
      </c>
    </row>
    <row r="27" spans="2:10" ht="12.75">
      <c r="B27" s="321" t="s">
        <v>170</v>
      </c>
      <c r="C27" s="322"/>
      <c r="D27" s="322"/>
      <c r="E27" s="671"/>
      <c r="H27" s="138">
        <v>282000</v>
      </c>
      <c r="I27">
        <f t="shared" si="3"/>
        <v>0</v>
      </c>
      <c r="J27">
        <f t="shared" si="4"/>
        <v>0</v>
      </c>
    </row>
    <row r="28" spans="2:10" ht="12.75">
      <c r="B28" s="323" t="s">
        <v>61</v>
      </c>
      <c r="C28" s="606">
        <v>1.53</v>
      </c>
      <c r="D28" s="606">
        <v>1.97</v>
      </c>
      <c r="E28" s="671">
        <f t="shared" si="0"/>
        <v>1.75</v>
      </c>
      <c r="H28" s="138">
        <v>9725000</v>
      </c>
      <c r="I28">
        <f t="shared" si="3"/>
        <v>14879250</v>
      </c>
      <c r="J28">
        <f t="shared" si="4"/>
        <v>19158250</v>
      </c>
    </row>
    <row r="29" spans="2:10" ht="12.75">
      <c r="B29" s="323" t="s">
        <v>89</v>
      </c>
      <c r="C29" s="606">
        <v>1.97</v>
      </c>
      <c r="D29" s="606">
        <v>2.59</v>
      </c>
      <c r="E29" s="671">
        <f t="shared" si="0"/>
        <v>2.28</v>
      </c>
      <c r="H29" s="138">
        <v>10392000</v>
      </c>
      <c r="I29">
        <f t="shared" si="3"/>
        <v>20472240</v>
      </c>
      <c r="J29">
        <f t="shared" si="4"/>
        <v>26915280</v>
      </c>
    </row>
    <row r="30" spans="2:10" ht="12.75">
      <c r="B30" s="323" t="s">
        <v>38</v>
      </c>
      <c r="C30" s="322"/>
      <c r="D30" s="322"/>
      <c r="E30" s="671"/>
      <c r="H30" s="138">
        <v>295000</v>
      </c>
      <c r="I30">
        <f t="shared" si="3"/>
        <v>0</v>
      </c>
      <c r="J30">
        <f t="shared" si="4"/>
        <v>0</v>
      </c>
    </row>
    <row r="31" spans="2:10" ht="12.75">
      <c r="B31" s="323" t="s">
        <v>147</v>
      </c>
      <c r="C31" s="606">
        <v>0.71</v>
      </c>
      <c r="D31" s="606">
        <v>0.81</v>
      </c>
      <c r="E31" s="671">
        <f t="shared" si="0"/>
        <v>0.76</v>
      </c>
      <c r="H31" s="138">
        <v>8278000</v>
      </c>
      <c r="I31">
        <f t="shared" si="3"/>
        <v>5877380</v>
      </c>
      <c r="J31">
        <f t="shared" si="4"/>
        <v>6705180</v>
      </c>
    </row>
    <row r="32" spans="2:10" ht="12.75">
      <c r="B32" s="321" t="s">
        <v>165</v>
      </c>
      <c r="C32" s="322"/>
      <c r="D32" s="322"/>
      <c r="E32" s="671"/>
      <c r="H32" s="138">
        <v>67000</v>
      </c>
      <c r="I32">
        <f t="shared" si="3"/>
        <v>0</v>
      </c>
      <c r="J32">
        <f t="shared" si="4"/>
        <v>0</v>
      </c>
    </row>
    <row r="33" spans="2:10" ht="12.75">
      <c r="B33" s="323" t="s">
        <v>50</v>
      </c>
      <c r="C33" s="672">
        <v>0.9363242758307584</v>
      </c>
      <c r="D33" s="606">
        <v>1</v>
      </c>
      <c r="E33" s="671">
        <f t="shared" si="0"/>
        <v>0.9681621379153792</v>
      </c>
      <c r="H33" s="138">
        <v>673000</v>
      </c>
      <c r="I33">
        <f t="shared" si="3"/>
        <v>630146.2376341004</v>
      </c>
      <c r="J33">
        <f t="shared" si="4"/>
        <v>673000</v>
      </c>
    </row>
    <row r="34" spans="2:10" ht="12.75">
      <c r="B34" s="323" t="s">
        <v>131</v>
      </c>
      <c r="C34" s="606">
        <v>0.96</v>
      </c>
      <c r="D34" s="606">
        <v>1.72</v>
      </c>
      <c r="E34" s="671">
        <f t="shared" si="0"/>
        <v>1.3399999999999999</v>
      </c>
      <c r="H34" s="138">
        <v>9426000</v>
      </c>
      <c r="I34">
        <f t="shared" si="3"/>
        <v>9048960</v>
      </c>
      <c r="J34">
        <f t="shared" si="4"/>
        <v>16212720</v>
      </c>
    </row>
    <row r="35" spans="2:10" ht="12.75">
      <c r="B35" s="323" t="s">
        <v>1</v>
      </c>
      <c r="C35" s="606">
        <v>1.03</v>
      </c>
      <c r="D35" s="606">
        <v>1.43</v>
      </c>
      <c r="E35" s="671">
        <f t="shared" si="0"/>
        <v>1.23</v>
      </c>
      <c r="H35" s="138">
        <v>4552000</v>
      </c>
      <c r="I35">
        <f t="shared" si="3"/>
        <v>4688560</v>
      </c>
      <c r="J35">
        <f t="shared" si="4"/>
        <v>6509360</v>
      </c>
    </row>
    <row r="36" spans="2:10" ht="12.75">
      <c r="B36" s="323" t="s">
        <v>142</v>
      </c>
      <c r="C36" s="606">
        <v>0.94</v>
      </c>
      <c r="D36" s="606">
        <v>2.12</v>
      </c>
      <c r="E36" s="671">
        <f t="shared" si="0"/>
        <v>1.53</v>
      </c>
      <c r="H36" s="138">
        <v>1913000</v>
      </c>
      <c r="I36">
        <f t="shared" si="3"/>
        <v>1798220</v>
      </c>
      <c r="J36">
        <f t="shared" si="4"/>
        <v>4055560</v>
      </c>
    </row>
    <row r="37" spans="2:10" ht="12.75">
      <c r="B37" s="323" t="s">
        <v>68</v>
      </c>
      <c r="C37" s="606">
        <v>1.71</v>
      </c>
      <c r="D37" s="606">
        <v>2.36</v>
      </c>
      <c r="E37" s="671">
        <f t="shared" si="0"/>
        <v>2.035</v>
      </c>
      <c r="H37" s="138">
        <v>193919000</v>
      </c>
      <c r="I37">
        <f t="shared" si="3"/>
        <v>331601490</v>
      </c>
      <c r="J37">
        <f t="shared" si="4"/>
        <v>457648840</v>
      </c>
    </row>
    <row r="38" spans="2:10" ht="12.75">
      <c r="B38" s="323" t="s">
        <v>269</v>
      </c>
      <c r="C38" s="322"/>
      <c r="D38" s="322"/>
      <c r="E38" s="671"/>
      <c r="H38" s="138">
        <v>375000</v>
      </c>
      <c r="I38">
        <f t="shared" si="3"/>
        <v>0</v>
      </c>
      <c r="J38">
        <f t="shared" si="4"/>
        <v>0</v>
      </c>
    </row>
    <row r="39" spans="2:10" ht="12.75">
      <c r="B39" s="323" t="s">
        <v>71</v>
      </c>
      <c r="C39" s="606">
        <v>1.15</v>
      </c>
      <c r="D39" s="606">
        <v>1.4</v>
      </c>
      <c r="E39" s="671">
        <f t="shared" si="0"/>
        <v>1.275</v>
      </c>
      <c r="H39" s="138">
        <v>7323000</v>
      </c>
      <c r="I39">
        <f t="shared" si="3"/>
        <v>8421450</v>
      </c>
      <c r="J39">
        <f t="shared" si="4"/>
        <v>10252200</v>
      </c>
    </row>
    <row r="40" spans="2:10" ht="12.75">
      <c r="B40" s="323" t="s">
        <v>123</v>
      </c>
      <c r="C40" s="606">
        <v>0.94</v>
      </c>
      <c r="D40" s="606">
        <v>1.93</v>
      </c>
      <c r="E40" s="671">
        <f t="shared" si="0"/>
        <v>1.435</v>
      </c>
      <c r="H40" s="138">
        <v>14797000</v>
      </c>
      <c r="I40">
        <f t="shared" si="3"/>
        <v>13909180</v>
      </c>
      <c r="J40">
        <f t="shared" si="4"/>
        <v>28558210</v>
      </c>
    </row>
    <row r="41" spans="2:10" ht="12.75">
      <c r="B41" s="323" t="s">
        <v>134</v>
      </c>
      <c r="C41" s="606">
        <v>0.68</v>
      </c>
      <c r="D41" s="606">
        <v>0.73</v>
      </c>
      <c r="E41" s="671">
        <f t="shared" si="0"/>
        <v>0.7050000000000001</v>
      </c>
      <c r="H41" s="138">
        <v>8783000</v>
      </c>
      <c r="I41">
        <f t="shared" si="3"/>
        <v>5972440</v>
      </c>
      <c r="J41">
        <f t="shared" si="4"/>
        <v>6411590</v>
      </c>
    </row>
    <row r="42" spans="2:10" ht="12.75">
      <c r="B42" s="323" t="s">
        <v>141</v>
      </c>
      <c r="C42" s="606">
        <v>0.64</v>
      </c>
      <c r="D42" s="606">
        <v>0.76</v>
      </c>
      <c r="E42" s="671">
        <f t="shared" si="0"/>
        <v>0.7</v>
      </c>
      <c r="H42" s="138">
        <v>13719000</v>
      </c>
      <c r="I42">
        <f t="shared" si="3"/>
        <v>8780160</v>
      </c>
      <c r="J42">
        <f t="shared" si="4"/>
        <v>10426440</v>
      </c>
    </row>
    <row r="43" spans="2:10" ht="12.75">
      <c r="B43" s="323" t="s">
        <v>127</v>
      </c>
      <c r="C43" s="606">
        <v>0.72</v>
      </c>
      <c r="D43" s="606">
        <v>1.21</v>
      </c>
      <c r="E43" s="671">
        <f t="shared" si="0"/>
        <v>0.965</v>
      </c>
      <c r="H43" s="138">
        <v>18060000</v>
      </c>
      <c r="I43">
        <f t="shared" si="3"/>
        <v>13003200</v>
      </c>
      <c r="J43">
        <f t="shared" si="4"/>
        <v>21852600</v>
      </c>
    </row>
    <row r="44" spans="2:10" ht="12.75">
      <c r="B44" s="323" t="s">
        <v>2</v>
      </c>
      <c r="C44" s="606">
        <v>3.02</v>
      </c>
      <c r="D44" s="606">
        <v>3.66</v>
      </c>
      <c r="E44" s="671">
        <f t="shared" si="0"/>
        <v>3.34</v>
      </c>
      <c r="H44" s="138">
        <v>32936000</v>
      </c>
      <c r="I44">
        <f t="shared" si="3"/>
        <v>99466720</v>
      </c>
      <c r="J44">
        <f t="shared" si="4"/>
        <v>120545760</v>
      </c>
    </row>
    <row r="45" spans="2:10" ht="12.75">
      <c r="B45" s="321" t="s">
        <v>180</v>
      </c>
      <c r="C45" s="322"/>
      <c r="D45" s="322"/>
      <c r="E45" s="671"/>
      <c r="H45" s="138">
        <v>486000</v>
      </c>
      <c r="I45">
        <f t="shared" si="3"/>
        <v>0</v>
      </c>
      <c r="J45">
        <f t="shared" si="4"/>
        <v>0</v>
      </c>
    </row>
    <row r="46" spans="2:10" ht="12.75">
      <c r="B46" s="321" t="s">
        <v>163</v>
      </c>
      <c r="C46" s="322"/>
      <c r="D46" s="322"/>
      <c r="E46" s="671"/>
      <c r="H46" s="138">
        <v>47000</v>
      </c>
      <c r="I46">
        <f t="shared" si="3"/>
        <v>0</v>
      </c>
      <c r="J46">
        <f t="shared" si="4"/>
        <v>0</v>
      </c>
    </row>
    <row r="47" spans="2:10" ht="12.75">
      <c r="B47" s="323" t="s">
        <v>154</v>
      </c>
      <c r="C47" s="606">
        <v>0.87</v>
      </c>
      <c r="D47" s="606">
        <v>1.58</v>
      </c>
      <c r="E47" s="671">
        <f t="shared" si="0"/>
        <v>1.225</v>
      </c>
      <c r="H47" s="138">
        <v>4544000</v>
      </c>
      <c r="I47">
        <f t="shared" si="3"/>
        <v>3953280</v>
      </c>
      <c r="J47">
        <f t="shared" si="4"/>
        <v>7179520</v>
      </c>
    </row>
    <row r="48" spans="2:10" ht="12.75">
      <c r="B48" s="323" t="s">
        <v>144</v>
      </c>
      <c r="C48" s="606">
        <v>1</v>
      </c>
      <c r="D48" s="606">
        <v>1.7</v>
      </c>
      <c r="E48" s="671">
        <f t="shared" si="0"/>
        <v>1.35</v>
      </c>
      <c r="H48" s="138">
        <v>9886000</v>
      </c>
      <c r="I48">
        <f t="shared" si="3"/>
        <v>9886000</v>
      </c>
      <c r="J48">
        <f t="shared" si="4"/>
        <v>16806200</v>
      </c>
    </row>
    <row r="49" spans="2:10" ht="12.75">
      <c r="B49" s="323" t="s">
        <v>29</v>
      </c>
      <c r="C49" s="606">
        <v>1.7</v>
      </c>
      <c r="D49" s="606">
        <v>2.44</v>
      </c>
      <c r="E49" s="671">
        <f t="shared" si="0"/>
        <v>2.07</v>
      </c>
      <c r="H49" s="138">
        <v>16304000</v>
      </c>
      <c r="I49">
        <f t="shared" si="3"/>
        <v>27716800</v>
      </c>
      <c r="J49">
        <f t="shared" si="4"/>
        <v>39781760</v>
      </c>
    </row>
    <row r="50" spans="2:10" ht="12.75">
      <c r="B50" s="323" t="s">
        <v>117</v>
      </c>
      <c r="C50" s="606">
        <v>0.84</v>
      </c>
      <c r="D50" s="606">
        <v>0.97</v>
      </c>
      <c r="E50" s="671">
        <f t="shared" si="0"/>
        <v>0.905</v>
      </c>
      <c r="H50" s="138">
        <v>1310584000</v>
      </c>
      <c r="I50">
        <f t="shared" si="3"/>
        <v>1100890560</v>
      </c>
      <c r="J50">
        <f t="shared" si="4"/>
        <v>1271266480</v>
      </c>
    </row>
    <row r="51" spans="2:10" ht="12.75">
      <c r="B51" s="321" t="s">
        <v>189</v>
      </c>
      <c r="C51" s="322"/>
      <c r="D51" s="322"/>
      <c r="E51" s="671"/>
      <c r="H51" s="138">
        <v>6980000</v>
      </c>
      <c r="I51">
        <f t="shared" si="3"/>
        <v>0</v>
      </c>
      <c r="J51">
        <f t="shared" si="4"/>
        <v>0</v>
      </c>
    </row>
    <row r="52" spans="2:10" ht="12.75">
      <c r="B52" s="321" t="s">
        <v>190</v>
      </c>
      <c r="C52" s="322"/>
      <c r="D52" s="322"/>
      <c r="E52" s="671"/>
      <c r="H52" s="138">
        <v>526000</v>
      </c>
      <c r="I52">
        <f t="shared" si="3"/>
        <v>0</v>
      </c>
      <c r="J52">
        <f t="shared" si="4"/>
        <v>0</v>
      </c>
    </row>
    <row r="53" spans="2:10" ht="12.75">
      <c r="B53" s="323" t="s">
        <v>25</v>
      </c>
      <c r="C53" s="606">
        <v>0.88</v>
      </c>
      <c r="D53" s="606">
        <v>1.34</v>
      </c>
      <c r="E53" s="671">
        <f t="shared" si="0"/>
        <v>1.11</v>
      </c>
      <c r="H53" s="138">
        <v>42597000</v>
      </c>
      <c r="I53">
        <f t="shared" si="3"/>
        <v>37485360</v>
      </c>
      <c r="J53">
        <f t="shared" si="4"/>
        <v>57079980</v>
      </c>
    </row>
    <row r="54" spans="2:10" ht="12.75">
      <c r="B54" s="321" t="s">
        <v>186</v>
      </c>
      <c r="C54" s="322"/>
      <c r="D54" s="322"/>
      <c r="E54" s="671"/>
      <c r="H54" s="138">
        <v>711000</v>
      </c>
      <c r="I54">
        <f t="shared" si="3"/>
        <v>0</v>
      </c>
      <c r="J54">
        <f t="shared" si="4"/>
        <v>0</v>
      </c>
    </row>
    <row r="55" spans="2:10" ht="12.75">
      <c r="B55" s="323" t="s">
        <v>267</v>
      </c>
      <c r="C55" s="606">
        <v>0.51</v>
      </c>
      <c r="D55" s="606">
        <v>0.43</v>
      </c>
      <c r="E55" s="671">
        <f t="shared" si="0"/>
        <v>0.47</v>
      </c>
      <c r="H55" s="138">
        <v>3802000</v>
      </c>
      <c r="I55">
        <f t="shared" si="3"/>
        <v>1939020</v>
      </c>
      <c r="J55">
        <f t="shared" si="4"/>
        <v>1634860</v>
      </c>
    </row>
    <row r="56" spans="2:10" ht="12.75">
      <c r="B56" s="323" t="s">
        <v>18</v>
      </c>
      <c r="C56" s="606">
        <v>1.36</v>
      </c>
      <c r="D56" s="606">
        <v>1.44</v>
      </c>
      <c r="E56" s="671">
        <f t="shared" si="0"/>
        <v>1.4</v>
      </c>
      <c r="H56" s="138">
        <v>4331000</v>
      </c>
      <c r="I56">
        <f t="shared" si="3"/>
        <v>5890160</v>
      </c>
      <c r="J56">
        <f t="shared" si="4"/>
        <v>6236640</v>
      </c>
    </row>
    <row r="57" spans="2:10" ht="12.75">
      <c r="B57" s="323" t="s">
        <v>102</v>
      </c>
      <c r="C57" s="606">
        <v>0.59</v>
      </c>
      <c r="D57" s="606">
        <v>0.8</v>
      </c>
      <c r="E57" s="671">
        <f t="shared" si="0"/>
        <v>0.6950000000000001</v>
      </c>
      <c r="H57" s="138">
        <v>19747000</v>
      </c>
      <c r="I57">
        <f t="shared" si="3"/>
        <v>11650730</v>
      </c>
      <c r="J57">
        <f t="shared" si="4"/>
        <v>15797600</v>
      </c>
    </row>
    <row r="58" spans="2:10" ht="12.75">
      <c r="B58" s="323" t="s">
        <v>45</v>
      </c>
      <c r="C58" s="606">
        <v>1.23</v>
      </c>
      <c r="D58" s="606">
        <v>1.53</v>
      </c>
      <c r="E58" s="671">
        <f t="shared" si="0"/>
        <v>1.38</v>
      </c>
      <c r="H58" s="138">
        <v>4493000</v>
      </c>
      <c r="I58">
        <f t="shared" si="3"/>
        <v>5526390</v>
      </c>
      <c r="J58">
        <f t="shared" si="4"/>
        <v>6874290</v>
      </c>
    </row>
    <row r="59" spans="2:10" ht="12.75">
      <c r="B59" s="323" t="s">
        <v>24</v>
      </c>
      <c r="C59" s="606">
        <v>0.88</v>
      </c>
      <c r="D59" s="606">
        <v>0.98</v>
      </c>
      <c r="E59" s="671">
        <f t="shared" si="0"/>
        <v>0.9299999999999999</v>
      </c>
      <c r="H59" s="138">
        <v>11394000</v>
      </c>
      <c r="I59">
        <f t="shared" si="3"/>
        <v>10026720</v>
      </c>
      <c r="J59">
        <f t="shared" si="4"/>
        <v>11166120</v>
      </c>
    </row>
    <row r="60" spans="2:10" ht="12.75">
      <c r="B60" s="323" t="s">
        <v>97</v>
      </c>
      <c r="C60" s="322"/>
      <c r="D60" s="322"/>
      <c r="E60" s="671"/>
      <c r="H60" s="138">
        <v>1049000</v>
      </c>
      <c r="I60">
        <f t="shared" si="3"/>
        <v>0</v>
      </c>
      <c r="J60">
        <f t="shared" si="4"/>
        <v>0</v>
      </c>
    </row>
    <row r="61" spans="2:10" ht="12.75">
      <c r="B61" s="323" t="s">
        <v>34</v>
      </c>
      <c r="C61" s="606">
        <v>1.86</v>
      </c>
      <c r="D61" s="606">
        <v>1.97</v>
      </c>
      <c r="E61" s="671">
        <f t="shared" si="0"/>
        <v>1.915</v>
      </c>
      <c r="H61" s="138">
        <v>10229000</v>
      </c>
      <c r="I61">
        <f t="shared" si="3"/>
        <v>19025940</v>
      </c>
      <c r="J61">
        <f t="shared" si="4"/>
        <v>20151130</v>
      </c>
    </row>
    <row r="62" spans="2:10" ht="12.75">
      <c r="B62" s="323" t="s">
        <v>105</v>
      </c>
      <c r="C62" s="606">
        <v>0.58</v>
      </c>
      <c r="D62" s="606">
        <v>0.59</v>
      </c>
      <c r="E62" s="671">
        <f t="shared" si="0"/>
        <v>0.585</v>
      </c>
      <c r="H62" s="138">
        <v>64390000</v>
      </c>
      <c r="I62">
        <f t="shared" si="3"/>
        <v>37346200</v>
      </c>
      <c r="J62">
        <f t="shared" si="4"/>
        <v>37990100</v>
      </c>
    </row>
    <row r="63" spans="2:10" ht="12.75">
      <c r="B63" s="323" t="s">
        <v>42</v>
      </c>
      <c r="C63" s="606">
        <v>2.63</v>
      </c>
      <c r="D63" s="606">
        <v>4.47</v>
      </c>
      <c r="E63" s="671">
        <f t="shared" si="0"/>
        <v>3.55</v>
      </c>
      <c r="H63" s="138">
        <v>5468000</v>
      </c>
      <c r="I63">
        <f t="shared" si="3"/>
        <v>14380840</v>
      </c>
      <c r="J63">
        <f t="shared" si="4"/>
        <v>24441960</v>
      </c>
    </row>
    <row r="64" spans="2:10" ht="12.75">
      <c r="B64" s="323" t="s">
        <v>79</v>
      </c>
      <c r="C64" s="322"/>
      <c r="D64" s="322"/>
      <c r="E64" s="671"/>
      <c r="H64" s="138">
        <v>694000</v>
      </c>
      <c r="I64">
        <f t="shared" si="3"/>
        <v>0</v>
      </c>
      <c r="J64">
        <f t="shared" si="4"/>
        <v>0</v>
      </c>
    </row>
    <row r="65" spans="2:10" ht="12.75">
      <c r="B65" s="321" t="s">
        <v>177</v>
      </c>
      <c r="C65" s="322"/>
      <c r="D65" s="322"/>
      <c r="E65" s="671"/>
      <c r="H65" s="138">
        <v>72000</v>
      </c>
      <c r="I65">
        <f t="shared" si="3"/>
        <v>0</v>
      </c>
      <c r="J65">
        <f t="shared" si="4"/>
        <v>0</v>
      </c>
    </row>
    <row r="66" spans="2:10" ht="12.75">
      <c r="B66" s="323" t="s">
        <v>46</v>
      </c>
      <c r="C66" s="606">
        <v>1.03</v>
      </c>
      <c r="D66" s="606">
        <v>0.96</v>
      </c>
      <c r="E66" s="671">
        <f t="shared" si="0"/>
        <v>0.995</v>
      </c>
      <c r="H66" s="138">
        <v>9426000</v>
      </c>
      <c r="I66">
        <f t="shared" si="3"/>
        <v>9708780</v>
      </c>
      <c r="J66">
        <f t="shared" si="4"/>
        <v>9048960</v>
      </c>
    </row>
    <row r="67" spans="2:10" ht="12.75">
      <c r="B67" s="323" t="s">
        <v>40</v>
      </c>
      <c r="C67" s="606">
        <v>0.95</v>
      </c>
      <c r="D67" s="606">
        <v>1.58</v>
      </c>
      <c r="E67" s="671">
        <f t="shared" si="0"/>
        <v>1.2650000000000001</v>
      </c>
      <c r="H67" s="138">
        <v>14135000</v>
      </c>
      <c r="I67">
        <f t="shared" si="3"/>
        <v>13428250</v>
      </c>
      <c r="J67">
        <f t="shared" si="4"/>
        <v>22333300</v>
      </c>
    </row>
    <row r="68" spans="2:10" ht="12.75">
      <c r="B68" s="323" t="s">
        <v>73</v>
      </c>
      <c r="C68" s="606">
        <v>0.89</v>
      </c>
      <c r="D68" s="606">
        <v>0.99</v>
      </c>
      <c r="E68" s="671">
        <f t="shared" si="0"/>
        <v>0.94</v>
      </c>
      <c r="H68" s="138">
        <v>75677000</v>
      </c>
      <c r="I68">
        <f t="shared" si="3"/>
        <v>67352530</v>
      </c>
      <c r="J68">
        <f t="shared" si="4"/>
        <v>74920230</v>
      </c>
    </row>
    <row r="69" spans="2:10" ht="12.75">
      <c r="B69" s="323" t="s">
        <v>44</v>
      </c>
      <c r="C69" s="606">
        <v>0.94</v>
      </c>
      <c r="D69" s="606">
        <v>0.99</v>
      </c>
      <c r="E69" s="671">
        <f t="shared" si="0"/>
        <v>0.965</v>
      </c>
      <c r="H69" s="138">
        <v>5982000</v>
      </c>
      <c r="I69">
        <f t="shared" si="3"/>
        <v>5623080</v>
      </c>
      <c r="J69">
        <f t="shared" si="4"/>
        <v>5922180</v>
      </c>
    </row>
    <row r="70" spans="2:10" ht="12.75">
      <c r="B70" s="323" t="s">
        <v>139</v>
      </c>
      <c r="C70" s="322"/>
      <c r="D70" s="322"/>
      <c r="E70" s="671"/>
      <c r="H70" s="138">
        <v>600000</v>
      </c>
      <c r="I70">
        <f t="shared" si="3"/>
        <v>0</v>
      </c>
      <c r="J70">
        <f t="shared" si="4"/>
        <v>0</v>
      </c>
    </row>
    <row r="71" spans="2:10" ht="12.75">
      <c r="B71" s="323" t="s">
        <v>100</v>
      </c>
      <c r="C71" s="606">
        <v>0.57</v>
      </c>
      <c r="D71" s="606">
        <v>0.94</v>
      </c>
      <c r="E71" s="671">
        <f t="shared" si="0"/>
        <v>0.7549999999999999</v>
      </c>
      <c r="H71" s="138">
        <v>5358000</v>
      </c>
      <c r="I71">
        <f t="shared" si="3"/>
        <v>3054059.9999999995</v>
      </c>
      <c r="J71">
        <f t="shared" si="4"/>
        <v>5036520</v>
      </c>
    </row>
    <row r="72" spans="2:10" ht="12.75">
      <c r="B72" s="323" t="s">
        <v>64</v>
      </c>
      <c r="C72" s="606">
        <v>2.96</v>
      </c>
      <c r="D72" s="606">
        <v>3.61</v>
      </c>
      <c r="E72" s="671">
        <f t="shared" si="0"/>
        <v>3.285</v>
      </c>
      <c r="H72" s="138">
        <v>1316000</v>
      </c>
      <c r="I72">
        <f t="shared" si="3"/>
        <v>3895360</v>
      </c>
      <c r="J72">
        <f t="shared" si="4"/>
        <v>4750760</v>
      </c>
    </row>
    <row r="73" spans="2:10" ht="12.75">
      <c r="B73" s="323" t="s">
        <v>135</v>
      </c>
      <c r="C73" s="606">
        <v>0.75</v>
      </c>
      <c r="D73" s="606">
        <v>1.34</v>
      </c>
      <c r="E73" s="671">
        <f t="shared" si="0"/>
        <v>1.045</v>
      </c>
      <c r="H73" s="138">
        <v>79936000</v>
      </c>
      <c r="I73">
        <f t="shared" si="3"/>
        <v>59952000</v>
      </c>
      <c r="J73">
        <f t="shared" si="4"/>
        <v>107114240</v>
      </c>
    </row>
    <row r="74" spans="2:10" ht="12.75">
      <c r="B74" s="321" t="s">
        <v>161</v>
      </c>
      <c r="C74" s="322"/>
      <c r="D74" s="322"/>
      <c r="E74" s="671"/>
      <c r="H74" s="138">
        <v>48000</v>
      </c>
      <c r="I74">
        <f t="shared" si="3"/>
        <v>0</v>
      </c>
      <c r="J74">
        <f t="shared" si="4"/>
        <v>0</v>
      </c>
    </row>
    <row r="75" spans="2:10" ht="12.75">
      <c r="B75" s="323" t="s">
        <v>57</v>
      </c>
      <c r="C75" s="322"/>
      <c r="D75" s="322"/>
      <c r="E75" s="671"/>
      <c r="H75" s="138">
        <v>852000</v>
      </c>
      <c r="I75">
        <f t="shared" si="3"/>
        <v>0</v>
      </c>
      <c r="J75">
        <f t="shared" si="4"/>
        <v>0</v>
      </c>
    </row>
    <row r="76" spans="2:10" ht="12.75">
      <c r="B76" s="323" t="s">
        <v>3</v>
      </c>
      <c r="C76" s="606">
        <v>3.6</v>
      </c>
      <c r="D76" s="606">
        <v>3.52</v>
      </c>
      <c r="E76" s="671">
        <f t="shared" si="0"/>
        <v>3.56</v>
      </c>
      <c r="H76" s="138">
        <v>5238000</v>
      </c>
      <c r="I76">
        <f t="shared" si="3"/>
        <v>18856800</v>
      </c>
      <c r="J76">
        <f t="shared" si="4"/>
        <v>18437760</v>
      </c>
    </row>
    <row r="77" spans="2:10" ht="12.75">
      <c r="B77" s="323" t="s">
        <v>22</v>
      </c>
      <c r="C77" s="606">
        <v>2.08</v>
      </c>
      <c r="D77" s="606">
        <v>2.38</v>
      </c>
      <c r="E77" s="671">
        <f t="shared" si="0"/>
        <v>2.23</v>
      </c>
      <c r="H77" s="138">
        <v>62226000</v>
      </c>
      <c r="I77">
        <f t="shared" si="3"/>
        <v>129430080</v>
      </c>
      <c r="J77">
        <f t="shared" si="4"/>
        <v>148097880</v>
      </c>
    </row>
    <row r="78" spans="2:10" ht="12.75">
      <c r="B78" s="321" t="s">
        <v>171</v>
      </c>
      <c r="C78" s="322"/>
      <c r="D78" s="322"/>
      <c r="E78" s="671"/>
      <c r="H78" s="138">
        <v>191000</v>
      </c>
      <c r="I78">
        <f t="shared" si="3"/>
        <v>0</v>
      </c>
      <c r="J78">
        <f t="shared" si="4"/>
        <v>0</v>
      </c>
    </row>
    <row r="79" spans="2:10" ht="12.75">
      <c r="B79" s="321" t="s">
        <v>173</v>
      </c>
      <c r="C79" s="322"/>
      <c r="D79" s="322"/>
      <c r="E79" s="671"/>
      <c r="H79" s="138">
        <v>279000</v>
      </c>
      <c r="I79">
        <f t="shared" si="3"/>
        <v>0</v>
      </c>
      <c r="J79">
        <f t="shared" si="4"/>
        <v>0</v>
      </c>
    </row>
    <row r="80" spans="2:10" ht="12.75">
      <c r="B80" s="323" t="s">
        <v>96</v>
      </c>
      <c r="C80" s="606">
        <v>1.4</v>
      </c>
      <c r="D80" s="606">
        <v>1.29</v>
      </c>
      <c r="E80" s="671">
        <f aca="true" t="shared" si="5" ref="E80:E141">SUM(C80:D80)/2</f>
        <v>1.345</v>
      </c>
      <c r="H80" s="138">
        <v>1456000</v>
      </c>
      <c r="I80">
        <f t="shared" si="3"/>
        <v>2038399.9999999998</v>
      </c>
      <c r="J80">
        <f t="shared" si="4"/>
        <v>1878240</v>
      </c>
    </row>
    <row r="81" spans="2:10" ht="12.75">
      <c r="B81" s="323" t="s">
        <v>113</v>
      </c>
      <c r="C81" s="606">
        <v>1.14</v>
      </c>
      <c r="D81" s="606">
        <v>1.13</v>
      </c>
      <c r="E81" s="671">
        <f t="shared" si="5"/>
        <v>1.1349999999999998</v>
      </c>
      <c r="H81" s="138">
        <v>1686000</v>
      </c>
      <c r="I81">
        <f t="shared" si="3"/>
        <v>1922039.9999999998</v>
      </c>
      <c r="J81">
        <f t="shared" si="4"/>
        <v>1905179.9999999998</v>
      </c>
    </row>
    <row r="82" spans="2:10" ht="12.75">
      <c r="B82" s="323" t="s">
        <v>66</v>
      </c>
      <c r="C82" s="606">
        <v>0.73</v>
      </c>
      <c r="D82" s="606">
        <v>0.87</v>
      </c>
      <c r="E82" s="671">
        <f t="shared" si="5"/>
        <v>0.8</v>
      </c>
      <c r="H82" s="138">
        <v>4646000</v>
      </c>
      <c r="I82">
        <f t="shared" si="3"/>
        <v>3391580</v>
      </c>
      <c r="J82">
        <f t="shared" si="4"/>
        <v>4042020</v>
      </c>
    </row>
    <row r="83" spans="2:10" ht="12.75">
      <c r="B83" s="323" t="s">
        <v>30</v>
      </c>
      <c r="C83" s="606">
        <v>1.64</v>
      </c>
      <c r="D83" s="606">
        <v>1.89</v>
      </c>
      <c r="E83" s="671">
        <f t="shared" si="5"/>
        <v>1.765</v>
      </c>
      <c r="H83" s="138">
        <v>82401000</v>
      </c>
      <c r="I83">
        <f t="shared" si="3"/>
        <v>135137640</v>
      </c>
      <c r="J83">
        <f t="shared" si="4"/>
        <v>155737890</v>
      </c>
    </row>
    <row r="84" spans="2:10" ht="12.75">
      <c r="B84" s="323" t="s">
        <v>108</v>
      </c>
      <c r="C84" s="606">
        <v>0.96</v>
      </c>
      <c r="D84" s="606">
        <v>1.2</v>
      </c>
      <c r="E84" s="671">
        <f t="shared" si="5"/>
        <v>1.08</v>
      </c>
      <c r="H84" s="138">
        <v>22981000</v>
      </c>
      <c r="I84">
        <f aca="true" t="shared" si="6" ref="I84:I147">C84*H84</f>
        <v>22061760</v>
      </c>
      <c r="J84">
        <f aca="true" t="shared" si="7" ref="J84:J147">D84*H84</f>
        <v>27577200</v>
      </c>
    </row>
    <row r="85" spans="2:10" ht="12.75">
      <c r="B85" s="323" t="s">
        <v>76</v>
      </c>
      <c r="C85" s="606">
        <v>1.83</v>
      </c>
      <c r="D85" s="606">
        <v>2.27</v>
      </c>
      <c r="E85" s="671">
        <f t="shared" si="5"/>
        <v>2.05</v>
      </c>
      <c r="H85" s="138">
        <v>10706000</v>
      </c>
      <c r="I85">
        <f t="shared" si="6"/>
        <v>19591980</v>
      </c>
      <c r="J85">
        <f t="shared" si="7"/>
        <v>24302620</v>
      </c>
    </row>
    <row r="86" spans="2:10" ht="12.75">
      <c r="B86" s="321" t="s">
        <v>164</v>
      </c>
      <c r="C86" s="322"/>
      <c r="D86" s="322"/>
      <c r="E86" s="671"/>
      <c r="H86" s="138">
        <v>58000</v>
      </c>
      <c r="I86">
        <f t="shared" si="6"/>
        <v>0</v>
      </c>
      <c r="J86">
        <f t="shared" si="7"/>
        <v>0</v>
      </c>
    </row>
    <row r="87" spans="2:10" ht="12.75">
      <c r="B87" s="321" t="s">
        <v>176</v>
      </c>
      <c r="C87" s="322"/>
      <c r="D87" s="322"/>
      <c r="E87" s="671"/>
      <c r="H87" s="138">
        <v>106000</v>
      </c>
      <c r="I87">
        <f t="shared" si="6"/>
        <v>0</v>
      </c>
      <c r="J87">
        <f t="shared" si="7"/>
        <v>0</v>
      </c>
    </row>
    <row r="88" spans="2:10" ht="12.75">
      <c r="B88" s="321" t="s">
        <v>168</v>
      </c>
      <c r="C88" s="322"/>
      <c r="D88" s="322"/>
      <c r="E88" s="671"/>
      <c r="H88" s="138">
        <v>445000</v>
      </c>
      <c r="I88">
        <f t="shared" si="6"/>
        <v>0</v>
      </c>
      <c r="J88">
        <f t="shared" si="7"/>
        <v>0</v>
      </c>
    </row>
    <row r="89" spans="2:10" ht="12.75">
      <c r="B89" s="323" t="s">
        <v>104</v>
      </c>
      <c r="C89" s="606">
        <v>0.9</v>
      </c>
      <c r="D89" s="606">
        <v>1.07</v>
      </c>
      <c r="E89" s="671">
        <f t="shared" si="5"/>
        <v>0.9850000000000001</v>
      </c>
      <c r="H89" s="138">
        <v>12728000</v>
      </c>
      <c r="I89">
        <f t="shared" si="6"/>
        <v>11455200</v>
      </c>
      <c r="J89">
        <f t="shared" si="7"/>
        <v>13618960</v>
      </c>
    </row>
    <row r="90" spans="2:10" ht="12.75">
      <c r="B90" s="323" t="s">
        <v>130</v>
      </c>
      <c r="C90" s="606">
        <v>0.84</v>
      </c>
      <c r="D90" s="606">
        <v>1.3</v>
      </c>
      <c r="E90" s="671">
        <f t="shared" si="5"/>
        <v>1.07</v>
      </c>
      <c r="H90" s="138">
        <v>9569000</v>
      </c>
      <c r="I90">
        <f t="shared" si="6"/>
        <v>8037960</v>
      </c>
      <c r="J90">
        <f t="shared" si="7"/>
        <v>12439700</v>
      </c>
    </row>
    <row r="91" spans="2:10" ht="12.75">
      <c r="B91" s="323" t="s">
        <v>126</v>
      </c>
      <c r="C91" s="606">
        <v>0.64</v>
      </c>
      <c r="D91" s="606">
        <v>0.9</v>
      </c>
      <c r="E91" s="671">
        <f t="shared" si="5"/>
        <v>0.77</v>
      </c>
      <c r="H91" s="138">
        <v>1473000</v>
      </c>
      <c r="I91">
        <f t="shared" si="6"/>
        <v>942720</v>
      </c>
      <c r="J91">
        <f t="shared" si="7"/>
        <v>1325700</v>
      </c>
    </row>
    <row r="92" spans="2:10" ht="12.75">
      <c r="B92" s="323" t="s">
        <v>85</v>
      </c>
      <c r="C92" s="322"/>
      <c r="D92" s="322"/>
      <c r="E92" s="671"/>
      <c r="H92" s="138">
        <v>764000</v>
      </c>
      <c r="I92">
        <f t="shared" si="6"/>
        <v>0</v>
      </c>
      <c r="J92">
        <f t="shared" si="7"/>
        <v>0</v>
      </c>
    </row>
    <row r="93" spans="2:10" ht="12.75">
      <c r="B93" s="323" t="s">
        <v>148</v>
      </c>
      <c r="C93" s="606">
        <v>0.52</v>
      </c>
      <c r="D93" s="606">
        <v>0.44</v>
      </c>
      <c r="E93" s="671">
        <f t="shared" si="5"/>
        <v>0.48</v>
      </c>
      <c r="H93" s="138">
        <v>9500000</v>
      </c>
      <c r="I93">
        <f t="shared" si="6"/>
        <v>4940000</v>
      </c>
      <c r="J93">
        <f t="shared" si="7"/>
        <v>4180000</v>
      </c>
    </row>
    <row r="94" spans="2:10" ht="12.75">
      <c r="B94" s="323" t="s">
        <v>114</v>
      </c>
      <c r="C94" s="606">
        <v>0.89</v>
      </c>
      <c r="D94" s="606">
        <v>1.27</v>
      </c>
      <c r="E94" s="671">
        <f t="shared" si="5"/>
        <v>1.08</v>
      </c>
      <c r="H94" s="138">
        <v>7516000</v>
      </c>
      <c r="I94">
        <f t="shared" si="6"/>
        <v>6689240</v>
      </c>
      <c r="J94">
        <f t="shared" si="7"/>
        <v>9545320</v>
      </c>
    </row>
    <row r="95" spans="2:10" ht="12.75">
      <c r="B95" s="323" t="s">
        <v>43</v>
      </c>
      <c r="C95" s="606">
        <v>1.47</v>
      </c>
      <c r="D95" s="606">
        <v>2.01</v>
      </c>
      <c r="E95" s="671">
        <f t="shared" si="5"/>
        <v>1.7399999999999998</v>
      </c>
      <c r="H95" s="138">
        <v>10034000</v>
      </c>
      <c r="I95">
        <f t="shared" si="6"/>
        <v>14749980</v>
      </c>
      <c r="J95">
        <f t="shared" si="7"/>
        <v>20168339.999999996</v>
      </c>
    </row>
    <row r="96" spans="2:10" ht="12.75">
      <c r="B96" s="323" t="s">
        <v>16</v>
      </c>
      <c r="C96" s="322"/>
      <c r="D96" s="322"/>
      <c r="E96" s="671"/>
      <c r="H96" s="138">
        <v>302000</v>
      </c>
      <c r="I96">
        <f t="shared" si="6"/>
        <v>0</v>
      </c>
      <c r="J96">
        <f t="shared" si="7"/>
        <v>0</v>
      </c>
    </row>
    <row r="97" spans="2:10" ht="12.75">
      <c r="B97" s="323" t="s">
        <v>118</v>
      </c>
      <c r="C97" s="606">
        <v>0.54</v>
      </c>
      <c r="D97" s="606">
        <v>0.57</v>
      </c>
      <c r="E97" s="671">
        <f t="shared" si="5"/>
        <v>0.5549999999999999</v>
      </c>
      <c r="H97" s="138">
        <v>1124135000</v>
      </c>
      <c r="I97">
        <f t="shared" si="6"/>
        <v>607032900</v>
      </c>
      <c r="J97">
        <f t="shared" si="7"/>
        <v>640756950</v>
      </c>
    </row>
    <row r="98" spans="2:10" ht="12.75">
      <c r="B98" s="323" t="s">
        <v>128</v>
      </c>
      <c r="C98" s="606">
        <v>0.84</v>
      </c>
      <c r="D98" s="606">
        <v>0.81</v>
      </c>
      <c r="E98" s="671">
        <f t="shared" si="5"/>
        <v>0.825</v>
      </c>
      <c r="H98" s="138">
        <v>234694000</v>
      </c>
      <c r="I98">
        <f t="shared" si="6"/>
        <v>197142960</v>
      </c>
      <c r="J98">
        <f t="shared" si="7"/>
        <v>190102140</v>
      </c>
    </row>
    <row r="99" spans="2:10" ht="12.75">
      <c r="B99" s="323" t="s">
        <v>4</v>
      </c>
      <c r="C99" s="606">
        <v>0.88</v>
      </c>
      <c r="D99" s="606">
        <v>1.04</v>
      </c>
      <c r="E99" s="671">
        <f t="shared" si="5"/>
        <v>0.96</v>
      </c>
      <c r="H99" s="138">
        <v>74093000</v>
      </c>
      <c r="I99">
        <f t="shared" si="6"/>
        <v>65201840</v>
      </c>
      <c r="J99">
        <f t="shared" si="7"/>
        <v>77056720</v>
      </c>
    </row>
    <row r="100" spans="2:10" ht="12.75">
      <c r="B100" s="324" t="s">
        <v>143</v>
      </c>
      <c r="C100" s="606">
        <v>0.15</v>
      </c>
      <c r="D100" s="606">
        <v>0.46</v>
      </c>
      <c r="E100" s="671">
        <f t="shared" si="5"/>
        <v>0.305</v>
      </c>
      <c r="H100" s="138">
        <v>27500000</v>
      </c>
      <c r="I100">
        <f t="shared" si="6"/>
        <v>4125000</v>
      </c>
      <c r="J100">
        <f t="shared" si="7"/>
        <v>12650000</v>
      </c>
    </row>
    <row r="101" spans="2:10" ht="12.75">
      <c r="B101" s="323" t="s">
        <v>53</v>
      </c>
      <c r="C101" s="606">
        <v>1.88</v>
      </c>
      <c r="D101" s="606">
        <v>2.27</v>
      </c>
      <c r="E101" s="671">
        <f t="shared" si="5"/>
        <v>2.075</v>
      </c>
      <c r="H101" s="138">
        <v>4420000</v>
      </c>
      <c r="I101">
        <f t="shared" si="6"/>
        <v>8309599.999999999</v>
      </c>
      <c r="J101">
        <f t="shared" si="7"/>
        <v>10033400</v>
      </c>
    </row>
    <row r="102" spans="2:10" ht="12.75">
      <c r="B102" s="323" t="s">
        <v>5</v>
      </c>
      <c r="C102" s="606">
        <v>1.72</v>
      </c>
      <c r="D102" s="606">
        <v>1.4</v>
      </c>
      <c r="E102" s="671">
        <f t="shared" si="5"/>
        <v>1.56</v>
      </c>
      <c r="H102" s="138">
        <v>6990000</v>
      </c>
      <c r="I102">
        <f t="shared" si="6"/>
        <v>12022800</v>
      </c>
      <c r="J102">
        <f t="shared" si="7"/>
        <v>9786000</v>
      </c>
    </row>
    <row r="103" spans="2:10" ht="12.75">
      <c r="B103" s="323" t="s">
        <v>31</v>
      </c>
      <c r="C103" s="606">
        <v>1.68</v>
      </c>
      <c r="D103" s="606">
        <v>2.03</v>
      </c>
      <c r="E103" s="671">
        <f t="shared" si="5"/>
        <v>1.855</v>
      </c>
      <c r="H103" s="138">
        <v>58178000</v>
      </c>
      <c r="I103">
        <f t="shared" si="6"/>
        <v>97739040</v>
      </c>
      <c r="J103">
        <f t="shared" si="7"/>
        <v>118101339.99999999</v>
      </c>
    </row>
    <row r="104" spans="2:10" ht="12.75">
      <c r="B104" s="323" t="s">
        <v>90</v>
      </c>
      <c r="C104" s="606">
        <v>1.29</v>
      </c>
      <c r="D104" s="606">
        <v>0.88</v>
      </c>
      <c r="E104" s="671">
        <f t="shared" si="5"/>
        <v>1.085</v>
      </c>
      <c r="H104" s="138">
        <v>2782000</v>
      </c>
      <c r="I104">
        <f t="shared" si="6"/>
        <v>3588780</v>
      </c>
      <c r="J104">
        <f t="shared" si="7"/>
        <v>2448160</v>
      </c>
    </row>
    <row r="105" spans="2:10" ht="12.75">
      <c r="B105" s="323" t="s">
        <v>6</v>
      </c>
      <c r="C105" s="606">
        <v>1.57</v>
      </c>
      <c r="D105" s="606">
        <v>1.22</v>
      </c>
      <c r="E105" s="671">
        <f t="shared" si="5"/>
        <v>1.395</v>
      </c>
      <c r="H105" s="138">
        <v>127433000</v>
      </c>
      <c r="I105">
        <f t="shared" si="6"/>
        <v>200069810</v>
      </c>
      <c r="J105">
        <f t="shared" si="7"/>
        <v>155468260</v>
      </c>
    </row>
    <row r="106" spans="2:10" ht="12.75">
      <c r="B106" s="323" t="s">
        <v>98</v>
      </c>
      <c r="C106" s="606">
        <v>0.98</v>
      </c>
      <c r="D106" s="606">
        <v>0.99</v>
      </c>
      <c r="E106" s="671">
        <f t="shared" si="5"/>
        <v>0.985</v>
      </c>
      <c r="H106" s="138">
        <v>5997000</v>
      </c>
      <c r="I106">
        <f t="shared" si="6"/>
        <v>5877060</v>
      </c>
      <c r="J106">
        <f t="shared" si="7"/>
        <v>5937030</v>
      </c>
    </row>
    <row r="107" spans="2:10" ht="12.75">
      <c r="B107" s="323" t="s">
        <v>93</v>
      </c>
      <c r="C107" s="606">
        <v>1.28</v>
      </c>
      <c r="D107" s="606">
        <v>1.37</v>
      </c>
      <c r="E107" s="671">
        <f t="shared" si="5"/>
        <v>1.3250000000000002</v>
      </c>
      <c r="H107" s="138">
        <v>15285000</v>
      </c>
      <c r="I107">
        <f t="shared" si="6"/>
        <v>19564800</v>
      </c>
      <c r="J107">
        <f t="shared" si="7"/>
        <v>20940450</v>
      </c>
    </row>
    <row r="108" spans="2:10" ht="12.75">
      <c r="B108" s="323" t="s">
        <v>107</v>
      </c>
      <c r="C108" s="606">
        <v>0.65</v>
      </c>
      <c r="D108" s="606">
        <v>0.98</v>
      </c>
      <c r="E108" s="671">
        <f t="shared" si="5"/>
        <v>0.815</v>
      </c>
      <c r="H108" s="138">
        <v>36914000</v>
      </c>
      <c r="I108">
        <f t="shared" si="6"/>
        <v>23994100</v>
      </c>
      <c r="J108">
        <f t="shared" si="7"/>
        <v>36175720</v>
      </c>
    </row>
    <row r="109" spans="2:10" ht="12.75">
      <c r="B109" s="321" t="s">
        <v>183</v>
      </c>
      <c r="C109" s="322"/>
      <c r="D109" s="322"/>
      <c r="E109" s="671"/>
      <c r="H109" s="138">
        <v>95000</v>
      </c>
      <c r="I109">
        <f t="shared" si="6"/>
        <v>0</v>
      </c>
      <c r="J109">
        <f t="shared" si="7"/>
        <v>0</v>
      </c>
    </row>
    <row r="110" spans="2:10" ht="12.75">
      <c r="B110" s="321" t="s">
        <v>7</v>
      </c>
      <c r="C110" s="606">
        <v>0.92</v>
      </c>
      <c r="D110" s="606">
        <v>1.15</v>
      </c>
      <c r="E110" s="671">
        <f t="shared" si="5"/>
        <v>1.035</v>
      </c>
      <c r="H110" s="138">
        <v>2507000</v>
      </c>
      <c r="I110">
        <f t="shared" si="6"/>
        <v>2306440</v>
      </c>
      <c r="J110">
        <f t="shared" si="7"/>
        <v>2883050</v>
      </c>
    </row>
    <row r="111" spans="2:10" ht="12.75">
      <c r="B111" s="323" t="s">
        <v>82</v>
      </c>
      <c r="C111" s="606">
        <v>1.01</v>
      </c>
      <c r="D111" s="606">
        <v>0.69</v>
      </c>
      <c r="E111" s="671">
        <f t="shared" si="5"/>
        <v>0.85</v>
      </c>
      <c r="H111" s="138">
        <v>5284000</v>
      </c>
      <c r="I111">
        <f t="shared" si="6"/>
        <v>5336840</v>
      </c>
      <c r="J111">
        <f t="shared" si="7"/>
        <v>3645959.9999999995</v>
      </c>
    </row>
    <row r="112" spans="2:10" ht="12.75">
      <c r="B112" s="323" t="s">
        <v>83</v>
      </c>
      <c r="C112" s="606">
        <v>0.85</v>
      </c>
      <c r="D112" s="606">
        <v>1.1</v>
      </c>
      <c r="E112" s="671">
        <f t="shared" si="5"/>
        <v>0.9750000000000001</v>
      </c>
      <c r="H112" s="138">
        <v>6035000</v>
      </c>
      <c r="I112">
        <f t="shared" si="6"/>
        <v>5129750</v>
      </c>
      <c r="J112">
        <f t="shared" si="7"/>
        <v>6638500.000000001</v>
      </c>
    </row>
    <row r="113" spans="2:10" ht="12.75">
      <c r="B113" s="323" t="s">
        <v>33</v>
      </c>
      <c r="C113" s="606">
        <v>2.15</v>
      </c>
      <c r="D113" s="606">
        <v>2.99</v>
      </c>
      <c r="E113" s="671">
        <f t="shared" si="5"/>
        <v>2.5700000000000003</v>
      </c>
      <c r="H113" s="138">
        <v>2260000</v>
      </c>
      <c r="I113">
        <f t="shared" si="6"/>
        <v>4859000</v>
      </c>
      <c r="J113">
        <f t="shared" si="7"/>
        <v>6757400.000000001</v>
      </c>
    </row>
    <row r="114" spans="2:10" ht="12.75">
      <c r="B114" s="323" t="s">
        <v>91</v>
      </c>
      <c r="C114" s="606">
        <v>1.05</v>
      </c>
      <c r="D114" s="606">
        <v>1.09</v>
      </c>
      <c r="E114" s="671">
        <f t="shared" si="5"/>
        <v>1.07</v>
      </c>
      <c r="H114" s="138">
        <v>3896000</v>
      </c>
      <c r="I114">
        <f t="shared" si="6"/>
        <v>4090800</v>
      </c>
      <c r="J114">
        <f t="shared" si="7"/>
        <v>4246640</v>
      </c>
    </row>
    <row r="115" spans="2:10" ht="12.75">
      <c r="B115" s="321" t="s">
        <v>184</v>
      </c>
      <c r="C115" s="606">
        <v>0.69</v>
      </c>
      <c r="D115" s="606">
        <v>0.9</v>
      </c>
      <c r="E115" s="671">
        <f t="shared" si="5"/>
        <v>0.7949999999999999</v>
      </c>
      <c r="H115" s="138">
        <v>3270000</v>
      </c>
      <c r="I115">
        <f t="shared" si="6"/>
        <v>2256300</v>
      </c>
      <c r="J115">
        <f t="shared" si="7"/>
        <v>2943000</v>
      </c>
    </row>
    <row r="116" spans="2:10" ht="12.75">
      <c r="B116" s="323" t="s">
        <v>268</v>
      </c>
      <c r="C116" s="606">
        <v>0.87</v>
      </c>
      <c r="D116" s="606">
        <v>1.03</v>
      </c>
      <c r="E116" s="671">
        <f t="shared" si="5"/>
        <v>0.95</v>
      </c>
      <c r="H116" s="138">
        <v>6050000</v>
      </c>
      <c r="I116">
        <f t="shared" si="6"/>
        <v>5263500</v>
      </c>
      <c r="J116">
        <f t="shared" si="7"/>
        <v>6231500</v>
      </c>
    </row>
    <row r="117" spans="2:10" ht="12.75">
      <c r="B117" s="323" t="s">
        <v>47</v>
      </c>
      <c r="C117" s="606">
        <v>2.38</v>
      </c>
      <c r="D117" s="606">
        <v>2.25</v>
      </c>
      <c r="E117" s="671">
        <f t="shared" si="5"/>
        <v>2.315</v>
      </c>
      <c r="H117" s="138">
        <v>3575000</v>
      </c>
      <c r="I117">
        <f t="shared" si="6"/>
        <v>8508500</v>
      </c>
      <c r="J117">
        <f t="shared" si="7"/>
        <v>8043750</v>
      </c>
    </row>
    <row r="118" spans="2:10" ht="12.75">
      <c r="B118" s="321" t="s">
        <v>8</v>
      </c>
      <c r="C118" s="322"/>
      <c r="D118" s="322"/>
      <c r="E118" s="671"/>
      <c r="H118" s="138">
        <v>480000</v>
      </c>
      <c r="I118">
        <f t="shared" si="6"/>
        <v>0</v>
      </c>
      <c r="J118">
        <f t="shared" si="7"/>
        <v>0</v>
      </c>
    </row>
    <row r="119" spans="2:10" ht="12.75">
      <c r="B119" s="323" t="s">
        <v>77</v>
      </c>
      <c r="C119" s="606">
        <v>0.99</v>
      </c>
      <c r="D119" s="606">
        <v>1.39</v>
      </c>
      <c r="E119" s="671">
        <f t="shared" si="5"/>
        <v>1.19</v>
      </c>
      <c r="H119" s="138">
        <v>2056000</v>
      </c>
      <c r="I119">
        <f t="shared" si="6"/>
        <v>2035440</v>
      </c>
      <c r="J119">
        <f t="shared" si="7"/>
        <v>2857840</v>
      </c>
    </row>
    <row r="120" spans="2:10" ht="12.75">
      <c r="B120" s="323" t="s">
        <v>116</v>
      </c>
      <c r="C120" s="606">
        <v>0.63</v>
      </c>
      <c r="D120" s="606">
        <v>1.06</v>
      </c>
      <c r="E120" s="671">
        <f t="shared" si="5"/>
        <v>0.845</v>
      </c>
      <c r="H120" s="138">
        <v>19449000</v>
      </c>
      <c r="I120">
        <f t="shared" si="6"/>
        <v>12252870</v>
      </c>
      <c r="J120">
        <f t="shared" si="7"/>
        <v>20615940</v>
      </c>
    </row>
    <row r="121" spans="2:10" ht="12.75">
      <c r="B121" s="323" t="s">
        <v>106</v>
      </c>
      <c r="C121" s="606">
        <v>0.56</v>
      </c>
      <c r="D121" s="606">
        <v>0.43</v>
      </c>
      <c r="E121" s="671">
        <f t="shared" si="5"/>
        <v>0.495</v>
      </c>
      <c r="H121" s="138">
        <v>14233000</v>
      </c>
      <c r="I121">
        <f t="shared" si="6"/>
        <v>7970480.000000001</v>
      </c>
      <c r="J121">
        <f t="shared" si="7"/>
        <v>6120190</v>
      </c>
    </row>
    <row r="122" spans="2:10" ht="12.75">
      <c r="B122" s="323" t="s">
        <v>9</v>
      </c>
      <c r="C122" s="606">
        <v>1.19</v>
      </c>
      <c r="D122" s="606">
        <v>1.33</v>
      </c>
      <c r="E122" s="671">
        <f t="shared" si="5"/>
        <v>1.26</v>
      </c>
      <c r="H122" s="138">
        <v>26896000</v>
      </c>
      <c r="I122">
        <f t="shared" si="6"/>
        <v>32006240</v>
      </c>
      <c r="J122">
        <f t="shared" si="7"/>
        <v>35771680</v>
      </c>
    </row>
    <row r="123" spans="2:10" ht="12.75">
      <c r="B123" s="323" t="s">
        <v>56</v>
      </c>
      <c r="C123" s="322"/>
      <c r="D123" s="322"/>
      <c r="E123" s="671"/>
      <c r="H123" s="138">
        <v>365000</v>
      </c>
      <c r="I123">
        <f t="shared" si="6"/>
        <v>0</v>
      </c>
      <c r="J123">
        <f t="shared" si="7"/>
        <v>0</v>
      </c>
    </row>
    <row r="124" spans="2:10" ht="12.75">
      <c r="B124" s="323" t="s">
        <v>149</v>
      </c>
      <c r="C124" s="606">
        <v>0.79</v>
      </c>
      <c r="D124" s="606">
        <v>1.52</v>
      </c>
      <c r="E124" s="671">
        <f t="shared" si="5"/>
        <v>1.155</v>
      </c>
      <c r="H124" s="138">
        <v>12769000</v>
      </c>
      <c r="I124">
        <f t="shared" si="6"/>
        <v>10087510</v>
      </c>
      <c r="J124">
        <f t="shared" si="7"/>
        <v>19408880</v>
      </c>
    </row>
    <row r="125" spans="2:10" ht="12.75">
      <c r="B125" s="323" t="s">
        <v>26</v>
      </c>
      <c r="C125" s="322"/>
      <c r="D125" s="322"/>
      <c r="E125" s="671"/>
      <c r="H125" s="138">
        <v>402000</v>
      </c>
      <c r="I125">
        <f t="shared" si="6"/>
        <v>0</v>
      </c>
      <c r="J125">
        <f t="shared" si="7"/>
        <v>0</v>
      </c>
    </row>
    <row r="126" spans="2:10" ht="12.75">
      <c r="B126" s="321" t="s">
        <v>169</v>
      </c>
      <c r="C126" s="322"/>
      <c r="D126" s="322"/>
      <c r="E126" s="671"/>
      <c r="H126" s="138">
        <v>426000</v>
      </c>
      <c r="I126">
        <f t="shared" si="6"/>
        <v>0</v>
      </c>
      <c r="J126">
        <f t="shared" si="7"/>
        <v>0</v>
      </c>
    </row>
    <row r="127" spans="2:10" ht="12.75">
      <c r="B127" s="323" t="s">
        <v>153</v>
      </c>
      <c r="C127" s="606">
        <v>0.98</v>
      </c>
      <c r="D127" s="606">
        <v>1.9</v>
      </c>
      <c r="E127" s="671">
        <f t="shared" si="5"/>
        <v>1.44</v>
      </c>
      <c r="H127" s="138">
        <v>2981000</v>
      </c>
      <c r="I127">
        <f t="shared" si="6"/>
        <v>2921380</v>
      </c>
      <c r="J127">
        <f t="shared" si="7"/>
        <v>5663900</v>
      </c>
    </row>
    <row r="128" spans="2:10" ht="12.75">
      <c r="B128" s="323" t="s">
        <v>21</v>
      </c>
      <c r="C128" s="606">
        <v>1.13</v>
      </c>
      <c r="D128" s="606">
        <v>1.77</v>
      </c>
      <c r="E128" s="671">
        <f t="shared" si="5"/>
        <v>1.45</v>
      </c>
      <c r="H128" s="138">
        <v>1264000</v>
      </c>
      <c r="I128">
        <f t="shared" si="6"/>
        <v>1428319.9999999998</v>
      </c>
      <c r="J128">
        <f t="shared" si="7"/>
        <v>2237280</v>
      </c>
    </row>
    <row r="129" spans="2:10" ht="12.75">
      <c r="B129" s="323" t="s">
        <v>52</v>
      </c>
      <c r="C129" s="606">
        <v>1.4</v>
      </c>
      <c r="D129" s="606">
        <v>1.48</v>
      </c>
      <c r="E129" s="671">
        <f t="shared" si="5"/>
        <v>1.44</v>
      </c>
      <c r="H129" s="138">
        <v>108701000</v>
      </c>
      <c r="I129">
        <f t="shared" si="6"/>
        <v>152181400</v>
      </c>
      <c r="J129">
        <f t="shared" si="7"/>
        <v>160877480</v>
      </c>
    </row>
    <row r="130" spans="2:10" ht="12.75">
      <c r="B130" s="323" t="s">
        <v>88</v>
      </c>
      <c r="C130" s="606">
        <v>0.75</v>
      </c>
      <c r="D130" s="606">
        <v>0.91</v>
      </c>
      <c r="E130" s="671">
        <f t="shared" si="5"/>
        <v>0.8300000000000001</v>
      </c>
      <c r="H130" s="138">
        <v>4329000</v>
      </c>
      <c r="I130">
        <f t="shared" si="6"/>
        <v>3246750</v>
      </c>
      <c r="J130">
        <f t="shared" si="7"/>
        <v>3939390</v>
      </c>
    </row>
    <row r="131" spans="2:10" ht="12.75">
      <c r="B131" s="323" t="s">
        <v>136</v>
      </c>
      <c r="C131" s="606">
        <v>2.17</v>
      </c>
      <c r="D131" s="606">
        <v>2.28</v>
      </c>
      <c r="E131" s="671">
        <f t="shared" si="5"/>
        <v>2.2249999999999996</v>
      </c>
      <c r="H131" s="138">
        <v>2952000</v>
      </c>
      <c r="I131">
        <f t="shared" si="6"/>
        <v>6405840</v>
      </c>
      <c r="J131">
        <f t="shared" si="7"/>
        <v>6730559.999999999</v>
      </c>
    </row>
    <row r="132" spans="2:10" ht="12.75">
      <c r="B132" s="321" t="s">
        <v>285</v>
      </c>
      <c r="C132" s="322"/>
      <c r="D132" s="322"/>
      <c r="E132" s="671"/>
      <c r="H132" s="138">
        <v>685000</v>
      </c>
      <c r="I132">
        <f t="shared" si="6"/>
        <v>0</v>
      </c>
      <c r="J132">
        <f t="shared" si="7"/>
        <v>0</v>
      </c>
    </row>
    <row r="133" spans="2:10" ht="12.75">
      <c r="B133" s="323" t="s">
        <v>60</v>
      </c>
      <c r="C133" s="606">
        <v>0.67</v>
      </c>
      <c r="D133" s="606">
        <v>0.84</v>
      </c>
      <c r="E133" s="671">
        <f t="shared" si="5"/>
        <v>0.755</v>
      </c>
      <c r="H133" s="138">
        <v>30594000</v>
      </c>
      <c r="I133">
        <f t="shared" si="6"/>
        <v>20497980</v>
      </c>
      <c r="J133">
        <f t="shared" si="7"/>
        <v>25698960</v>
      </c>
    </row>
    <row r="134" spans="2:10" ht="12.75">
      <c r="B134" s="323" t="s">
        <v>110</v>
      </c>
      <c r="C134" s="606">
        <v>0.57</v>
      </c>
      <c r="D134" s="606">
        <v>0.71</v>
      </c>
      <c r="E134" s="671">
        <f t="shared" si="5"/>
        <v>0.6399999999999999</v>
      </c>
      <c r="H134" s="138">
        <v>20906000</v>
      </c>
      <c r="I134">
        <f t="shared" si="6"/>
        <v>11916419.999999998</v>
      </c>
      <c r="J134">
        <f t="shared" si="7"/>
        <v>14843260</v>
      </c>
    </row>
    <row r="135" spans="2:10" ht="12.75">
      <c r="B135" s="323" t="s">
        <v>270</v>
      </c>
      <c r="C135" s="606">
        <v>0.86</v>
      </c>
      <c r="D135" s="606">
        <v>1.04</v>
      </c>
      <c r="E135" s="671">
        <f t="shared" si="5"/>
        <v>0.95</v>
      </c>
      <c r="H135" s="138">
        <v>51756000</v>
      </c>
      <c r="I135">
        <f t="shared" si="6"/>
        <v>44510160</v>
      </c>
      <c r="J135">
        <f t="shared" si="7"/>
        <v>53826240</v>
      </c>
    </row>
    <row r="136" spans="2:10" ht="12.75">
      <c r="B136" s="323" t="s">
        <v>84</v>
      </c>
      <c r="C136" s="606">
        <v>0.76</v>
      </c>
      <c r="D136" s="606">
        <v>3.06</v>
      </c>
      <c r="E136" s="671">
        <f t="shared" si="5"/>
        <v>1.9100000000000001</v>
      </c>
      <c r="H136" s="138">
        <v>2069000</v>
      </c>
      <c r="I136">
        <f t="shared" si="6"/>
        <v>1572440</v>
      </c>
      <c r="J136">
        <f t="shared" si="7"/>
        <v>6331140</v>
      </c>
    </row>
    <row r="137" spans="2:10" ht="12.75">
      <c r="B137" s="323" t="s">
        <v>48</v>
      </c>
      <c r="C137" s="606">
        <v>0.61</v>
      </c>
      <c r="D137" s="606">
        <v>0.77</v>
      </c>
      <c r="E137" s="671">
        <f t="shared" si="5"/>
        <v>0.69</v>
      </c>
      <c r="H137" s="138">
        <v>27828000</v>
      </c>
      <c r="I137">
        <f t="shared" si="6"/>
        <v>16975080</v>
      </c>
      <c r="J137">
        <f t="shared" si="7"/>
        <v>21427560</v>
      </c>
    </row>
    <row r="138" spans="2:10" ht="12.75">
      <c r="B138" s="323" t="s">
        <v>55</v>
      </c>
      <c r="C138" s="606">
        <v>1.57</v>
      </c>
      <c r="D138" s="606">
        <v>1.71</v>
      </c>
      <c r="E138" s="671">
        <f t="shared" si="5"/>
        <v>1.6400000000000001</v>
      </c>
      <c r="H138" s="138">
        <v>16571000</v>
      </c>
      <c r="I138">
        <f t="shared" si="6"/>
        <v>26016470</v>
      </c>
      <c r="J138">
        <f t="shared" si="7"/>
        <v>28336410</v>
      </c>
    </row>
    <row r="139" spans="2:10" ht="12.75">
      <c r="B139" s="321" t="s">
        <v>159</v>
      </c>
      <c r="C139" s="322"/>
      <c r="D139" s="322"/>
      <c r="E139" s="671"/>
      <c r="H139" s="138">
        <v>224000</v>
      </c>
      <c r="I139">
        <f t="shared" si="6"/>
        <v>0</v>
      </c>
      <c r="J139">
        <f t="shared" si="7"/>
        <v>0</v>
      </c>
    </row>
    <row r="140" spans="2:10" ht="12.75">
      <c r="B140" s="321" t="s">
        <v>162</v>
      </c>
      <c r="C140" s="322"/>
      <c r="D140" s="322"/>
      <c r="E140" s="671"/>
      <c r="H140" s="138">
        <v>240000</v>
      </c>
      <c r="I140">
        <f t="shared" si="6"/>
        <v>0</v>
      </c>
      <c r="J140">
        <f t="shared" si="7"/>
        <v>0</v>
      </c>
    </row>
    <row r="141" spans="2:10" ht="12.75">
      <c r="B141" s="323" t="s">
        <v>10</v>
      </c>
      <c r="C141" s="606">
        <v>4.3</v>
      </c>
      <c r="D141" s="606">
        <v>5.48</v>
      </c>
      <c r="E141" s="671">
        <f t="shared" si="5"/>
        <v>4.890000000000001</v>
      </c>
      <c r="H141" s="138">
        <v>4130000</v>
      </c>
      <c r="I141">
        <f t="shared" si="6"/>
        <v>17759000</v>
      </c>
      <c r="J141">
        <f t="shared" si="7"/>
        <v>22632400</v>
      </c>
    </row>
    <row r="142" spans="2:10" ht="12.75">
      <c r="B142" s="323" t="s">
        <v>94</v>
      </c>
      <c r="C142" s="606">
        <v>0.91</v>
      </c>
      <c r="D142" s="606">
        <v>1.59</v>
      </c>
      <c r="E142" s="671">
        <f aca="true" t="shared" si="8" ref="E142:E204">SUM(C142:D142)/2</f>
        <v>1.25</v>
      </c>
      <c r="H142" s="138">
        <v>5680000</v>
      </c>
      <c r="I142">
        <f t="shared" si="6"/>
        <v>5168800</v>
      </c>
      <c r="J142">
        <f t="shared" si="7"/>
        <v>9031200</v>
      </c>
    </row>
    <row r="143" spans="2:10" ht="12.75">
      <c r="B143" s="323" t="s">
        <v>150</v>
      </c>
      <c r="C143" s="606">
        <v>1.05</v>
      </c>
      <c r="D143" s="606">
        <v>1.56</v>
      </c>
      <c r="E143" s="671">
        <f t="shared" si="8"/>
        <v>1.3050000000000002</v>
      </c>
      <c r="H143" s="138">
        <v>14215000</v>
      </c>
      <c r="I143">
        <f t="shared" si="6"/>
        <v>14925750</v>
      </c>
      <c r="J143">
        <f t="shared" si="7"/>
        <v>22175400</v>
      </c>
    </row>
    <row r="144" spans="2:10" ht="12.75">
      <c r="B144" s="323" t="s">
        <v>146</v>
      </c>
      <c r="C144" s="606">
        <v>0.98</v>
      </c>
      <c r="D144" s="606">
        <v>1.18</v>
      </c>
      <c r="E144" s="671">
        <f t="shared" si="8"/>
        <v>1.08</v>
      </c>
      <c r="H144" s="138">
        <v>143312000</v>
      </c>
      <c r="I144">
        <f t="shared" si="6"/>
        <v>140445760</v>
      </c>
      <c r="J144">
        <f t="shared" si="7"/>
        <v>169108160</v>
      </c>
    </row>
    <row r="145" spans="2:10" ht="12.75">
      <c r="B145" s="323" t="s">
        <v>140</v>
      </c>
      <c r="C145" s="606">
        <v>0.56</v>
      </c>
      <c r="D145" s="606">
        <v>0.66</v>
      </c>
      <c r="E145" s="671">
        <f t="shared" si="8"/>
        <v>0.6100000000000001</v>
      </c>
      <c r="H145" s="138">
        <v>22454000</v>
      </c>
      <c r="I145">
        <f t="shared" si="6"/>
        <v>12574240.000000002</v>
      </c>
      <c r="J145">
        <f t="shared" si="7"/>
        <v>14819640</v>
      </c>
    </row>
    <row r="146" spans="2:10" ht="12.75">
      <c r="B146" s="323" t="s">
        <v>20</v>
      </c>
      <c r="C146" s="606">
        <v>3.82</v>
      </c>
      <c r="D146" s="606">
        <v>5.35</v>
      </c>
      <c r="E146" s="671">
        <f t="shared" si="8"/>
        <v>4.585</v>
      </c>
      <c r="H146" s="138">
        <v>4628000</v>
      </c>
      <c r="I146">
        <f t="shared" si="6"/>
        <v>17678960</v>
      </c>
      <c r="J146">
        <f t="shared" si="7"/>
        <v>24759800</v>
      </c>
    </row>
    <row r="147" spans="2:10" ht="12.75">
      <c r="B147" s="321" t="s">
        <v>197</v>
      </c>
      <c r="C147" s="673">
        <v>0.3978452747170314</v>
      </c>
      <c r="D147" s="673">
        <v>0.42490116403747114</v>
      </c>
      <c r="E147" s="671">
        <f t="shared" si="8"/>
        <v>0.41137321937725124</v>
      </c>
      <c r="H147" s="138">
        <v>3803000</v>
      </c>
      <c r="I147">
        <f t="shared" si="6"/>
        <v>1513005.5797488703</v>
      </c>
      <c r="J147">
        <f t="shared" si="7"/>
        <v>1615899.1268345027</v>
      </c>
    </row>
    <row r="148" spans="2:10" ht="12.75">
      <c r="B148" s="323" t="s">
        <v>11</v>
      </c>
      <c r="C148" s="672">
        <v>1.2172215585799862</v>
      </c>
      <c r="D148" s="606">
        <v>1.3</v>
      </c>
      <c r="E148" s="671">
        <f t="shared" si="8"/>
        <v>1.258610779289993</v>
      </c>
      <c r="H148" s="138">
        <v>2800000</v>
      </c>
      <c r="I148">
        <f aca="true" t="shared" si="9" ref="I148:I211">C148*H148</f>
        <v>3408220.364023961</v>
      </c>
      <c r="J148">
        <f aca="true" t="shared" si="10" ref="J148:J211">D148*H148</f>
        <v>3640000</v>
      </c>
    </row>
    <row r="149" spans="2:10" ht="12.75">
      <c r="B149" s="323" t="s">
        <v>120</v>
      </c>
      <c r="C149" s="606">
        <v>0.39</v>
      </c>
      <c r="D149" s="606">
        <v>0.5</v>
      </c>
      <c r="E149" s="671">
        <f t="shared" si="8"/>
        <v>0.445</v>
      </c>
      <c r="H149" s="138">
        <v>175495000</v>
      </c>
      <c r="I149">
        <f t="shared" si="9"/>
        <v>68443050</v>
      </c>
      <c r="J149">
        <f t="shared" si="10"/>
        <v>87747500</v>
      </c>
    </row>
    <row r="150" spans="2:10" ht="12.75">
      <c r="B150" s="323" t="s">
        <v>36</v>
      </c>
      <c r="C150" s="606">
        <v>1.07</v>
      </c>
      <c r="D150" s="606">
        <v>2.23</v>
      </c>
      <c r="E150" s="671">
        <f t="shared" si="8"/>
        <v>1.65</v>
      </c>
      <c r="H150" s="138">
        <v>3258000</v>
      </c>
      <c r="I150">
        <f t="shared" si="9"/>
        <v>3486060</v>
      </c>
      <c r="J150">
        <f t="shared" si="10"/>
        <v>7265340</v>
      </c>
    </row>
    <row r="151" spans="2:10" ht="12.75">
      <c r="B151" s="323" t="s">
        <v>132</v>
      </c>
      <c r="C151" s="606">
        <v>1.38</v>
      </c>
      <c r="D151" s="606">
        <v>1.7</v>
      </c>
      <c r="E151" s="671">
        <f t="shared" si="8"/>
        <v>1.54</v>
      </c>
      <c r="H151" s="138">
        <v>5691000</v>
      </c>
      <c r="I151">
        <f t="shared" si="9"/>
        <v>7853579.999999999</v>
      </c>
      <c r="J151">
        <f t="shared" si="10"/>
        <v>9674700</v>
      </c>
    </row>
    <row r="152" spans="2:10" ht="12.75">
      <c r="B152" s="323" t="s">
        <v>67</v>
      </c>
      <c r="C152" s="606">
        <v>1.59</v>
      </c>
      <c r="D152" s="606">
        <v>2.95</v>
      </c>
      <c r="E152" s="671">
        <f t="shared" si="8"/>
        <v>2.27</v>
      </c>
      <c r="H152" s="138">
        <v>6113000</v>
      </c>
      <c r="I152">
        <f t="shared" si="9"/>
        <v>9719670</v>
      </c>
      <c r="J152">
        <f t="shared" si="10"/>
        <v>18033350</v>
      </c>
    </row>
    <row r="153" spans="2:10" ht="12.75">
      <c r="B153" s="323" t="s">
        <v>41</v>
      </c>
      <c r="C153" s="606">
        <v>0.9</v>
      </c>
      <c r="D153" s="606">
        <v>1.38</v>
      </c>
      <c r="E153" s="671">
        <f t="shared" si="8"/>
        <v>1.14</v>
      </c>
      <c r="H153" s="138">
        <v>28809000</v>
      </c>
      <c r="I153">
        <f t="shared" si="9"/>
        <v>25928100</v>
      </c>
      <c r="J153">
        <f t="shared" si="10"/>
        <v>39756420</v>
      </c>
    </row>
    <row r="154" spans="2:10" ht="12.75">
      <c r="B154" s="323" t="s">
        <v>58</v>
      </c>
      <c r="C154" s="606">
        <v>0.88</v>
      </c>
      <c r="D154" s="606">
        <v>0.83</v>
      </c>
      <c r="E154" s="671">
        <f t="shared" si="8"/>
        <v>0.855</v>
      </c>
      <c r="H154" s="138">
        <v>94157000</v>
      </c>
      <c r="I154">
        <f t="shared" si="9"/>
        <v>82858160</v>
      </c>
      <c r="J154">
        <f t="shared" si="10"/>
        <v>78150310</v>
      </c>
    </row>
    <row r="155" spans="2:10" ht="12.75">
      <c r="B155" s="323" t="s">
        <v>69</v>
      </c>
      <c r="C155" s="606">
        <v>1.47</v>
      </c>
      <c r="D155" s="606">
        <v>1.94</v>
      </c>
      <c r="E155" s="671">
        <f t="shared" si="8"/>
        <v>1.705</v>
      </c>
      <c r="H155" s="138">
        <v>38518000</v>
      </c>
      <c r="I155">
        <f t="shared" si="9"/>
        <v>56621460</v>
      </c>
      <c r="J155">
        <f t="shared" si="10"/>
        <v>74724920</v>
      </c>
    </row>
    <row r="156" spans="2:10" ht="12.75">
      <c r="B156" s="323" t="s">
        <v>32</v>
      </c>
      <c r="C156" s="606">
        <v>2.24</v>
      </c>
      <c r="D156" s="606">
        <v>1.82</v>
      </c>
      <c r="E156" s="671">
        <f t="shared" si="8"/>
        <v>2.0300000000000002</v>
      </c>
      <c r="H156" s="138">
        <v>10643000</v>
      </c>
      <c r="I156">
        <f t="shared" si="9"/>
        <v>23840320.000000004</v>
      </c>
      <c r="J156">
        <f t="shared" si="10"/>
        <v>19370260</v>
      </c>
    </row>
    <row r="157" spans="2:10" ht="12.75">
      <c r="B157" s="321" t="s">
        <v>12</v>
      </c>
      <c r="C157" s="672">
        <v>2.4278762918629093</v>
      </c>
      <c r="D157" s="672">
        <v>2.592986590792772</v>
      </c>
      <c r="E157" s="671">
        <f t="shared" si="8"/>
        <v>2.5104314413278406</v>
      </c>
      <c r="H157" s="138">
        <v>815000</v>
      </c>
      <c r="I157">
        <f t="shared" si="9"/>
        <v>1978719.177868271</v>
      </c>
      <c r="J157">
        <f t="shared" si="10"/>
        <v>2113284.071496109</v>
      </c>
    </row>
    <row r="158" spans="2:10" ht="12.75">
      <c r="B158" s="321" t="s">
        <v>172</v>
      </c>
      <c r="C158" s="322"/>
      <c r="D158" s="322"/>
      <c r="E158" s="671"/>
      <c r="H158" s="138">
        <v>766000</v>
      </c>
      <c r="I158">
        <f t="shared" si="9"/>
        <v>0</v>
      </c>
      <c r="J158">
        <f t="shared" si="10"/>
        <v>0</v>
      </c>
    </row>
    <row r="159" spans="2:10" ht="12.75">
      <c r="B159" s="323" t="s">
        <v>54</v>
      </c>
      <c r="C159" s="606">
        <v>1.3</v>
      </c>
      <c r="D159" s="606">
        <v>1.77</v>
      </c>
      <c r="E159" s="671">
        <f t="shared" si="8"/>
        <v>1.5350000000000001</v>
      </c>
      <c r="H159" s="138">
        <v>22106000</v>
      </c>
      <c r="I159">
        <f t="shared" si="9"/>
        <v>28737800</v>
      </c>
      <c r="J159">
        <f t="shared" si="10"/>
        <v>39127620</v>
      </c>
    </row>
    <row r="160" spans="2:10" ht="12.75">
      <c r="B160" s="323" t="s">
        <v>74</v>
      </c>
      <c r="C160" s="606">
        <v>1.54</v>
      </c>
      <c r="D160" s="606">
        <v>1.46</v>
      </c>
      <c r="E160" s="671">
        <f t="shared" si="8"/>
        <v>1.5</v>
      </c>
      <c r="H160" s="138">
        <v>141378000</v>
      </c>
      <c r="I160">
        <f t="shared" si="9"/>
        <v>217722120</v>
      </c>
      <c r="J160">
        <f t="shared" si="10"/>
        <v>206411880</v>
      </c>
    </row>
    <row r="161" spans="2:10" ht="12.75">
      <c r="B161" s="323" t="s">
        <v>129</v>
      </c>
      <c r="C161" s="606">
        <v>0.67</v>
      </c>
      <c r="D161" s="606">
        <v>0.77</v>
      </c>
      <c r="E161" s="671">
        <f t="shared" si="8"/>
        <v>0.72</v>
      </c>
      <c r="H161" s="138">
        <v>10141000</v>
      </c>
      <c r="I161">
        <f t="shared" si="9"/>
        <v>6794470</v>
      </c>
      <c r="J161">
        <f t="shared" si="10"/>
        <v>7808570</v>
      </c>
    </row>
    <row r="162" spans="2:10" ht="12.75">
      <c r="B162" s="321" t="s">
        <v>174</v>
      </c>
      <c r="C162" s="322"/>
      <c r="D162" s="322"/>
      <c r="E162" s="671"/>
      <c r="H162" s="138">
        <v>49000</v>
      </c>
      <c r="I162">
        <f t="shared" si="9"/>
        <v>0</v>
      </c>
      <c r="J162">
        <f t="shared" si="10"/>
        <v>0</v>
      </c>
    </row>
    <row r="163" spans="2:10" ht="12.75">
      <c r="B163" s="321" t="s">
        <v>175</v>
      </c>
      <c r="C163" s="322"/>
      <c r="D163" s="322"/>
      <c r="E163" s="671"/>
      <c r="H163" s="138">
        <v>159000</v>
      </c>
      <c r="I163">
        <f t="shared" si="9"/>
        <v>0</v>
      </c>
      <c r="J163">
        <f t="shared" si="10"/>
        <v>0</v>
      </c>
    </row>
    <row r="164" spans="2:10" ht="12.75">
      <c r="B164" s="321" t="s">
        <v>198</v>
      </c>
      <c r="C164" s="322"/>
      <c r="D164" s="322"/>
      <c r="E164" s="671"/>
      <c r="H164" s="138">
        <v>105000</v>
      </c>
      <c r="I164">
        <f t="shared" si="9"/>
        <v>0</v>
      </c>
      <c r="J164">
        <f t="shared" si="10"/>
        <v>0</v>
      </c>
    </row>
    <row r="165" spans="2:10" ht="12.75">
      <c r="B165" s="321" t="s">
        <v>179</v>
      </c>
      <c r="C165" s="322"/>
      <c r="D165" s="322"/>
      <c r="E165" s="671"/>
      <c r="H165" s="138">
        <v>188000</v>
      </c>
      <c r="I165">
        <f t="shared" si="9"/>
        <v>0</v>
      </c>
      <c r="J165">
        <f t="shared" si="10"/>
        <v>0</v>
      </c>
    </row>
    <row r="166" spans="2:10" ht="12.75">
      <c r="B166" s="323" t="s">
        <v>92</v>
      </c>
      <c r="C166" s="322"/>
      <c r="D166" s="322"/>
      <c r="E166" s="671"/>
      <c r="H166" s="138">
        <v>165000</v>
      </c>
      <c r="I166">
        <f t="shared" si="9"/>
        <v>0</v>
      </c>
      <c r="J166">
        <f t="shared" si="10"/>
        <v>0</v>
      </c>
    </row>
    <row r="167" spans="2:10" ht="12.75">
      <c r="B167" s="323" t="s">
        <v>99</v>
      </c>
      <c r="C167" s="606">
        <v>1.17</v>
      </c>
      <c r="D167" s="606">
        <v>1.27</v>
      </c>
      <c r="E167" s="671">
        <f t="shared" si="8"/>
        <v>1.22</v>
      </c>
      <c r="H167" s="138">
        <v>24499000</v>
      </c>
      <c r="I167">
        <f t="shared" si="9"/>
        <v>28663830</v>
      </c>
      <c r="J167">
        <f t="shared" si="10"/>
        <v>31113730</v>
      </c>
    </row>
    <row r="168" spans="2:10" ht="12.75">
      <c r="B168" s="323" t="s">
        <v>137</v>
      </c>
      <c r="C168" s="606">
        <v>1.07</v>
      </c>
      <c r="D168" s="606">
        <v>1.25</v>
      </c>
      <c r="E168" s="671">
        <f t="shared" si="8"/>
        <v>1.1600000000000001</v>
      </c>
      <c r="H168" s="138">
        <v>11394000</v>
      </c>
      <c r="I168">
        <f t="shared" si="9"/>
        <v>12191580</v>
      </c>
      <c r="J168">
        <f t="shared" si="10"/>
        <v>14242500</v>
      </c>
    </row>
    <row r="169" spans="2:10" ht="12.75">
      <c r="B169" s="323" t="s">
        <v>238</v>
      </c>
      <c r="C169" s="606">
        <v>1.01</v>
      </c>
      <c r="D169" s="606">
        <v>1.23</v>
      </c>
      <c r="E169" s="671">
        <f t="shared" si="8"/>
        <v>1.12</v>
      </c>
      <c r="H169" s="138">
        <v>9233000</v>
      </c>
      <c r="I169">
        <f t="shared" si="9"/>
        <v>9325330</v>
      </c>
      <c r="J169">
        <f t="shared" si="10"/>
        <v>11356590</v>
      </c>
    </row>
    <row r="170" spans="2:10" ht="12.75">
      <c r="B170" s="321" t="s">
        <v>166</v>
      </c>
      <c r="C170" s="322"/>
      <c r="D170" s="322"/>
      <c r="E170" s="671"/>
      <c r="H170" s="138">
        <v>86000</v>
      </c>
      <c r="I170">
        <f t="shared" si="9"/>
        <v>0</v>
      </c>
      <c r="J170">
        <f t="shared" si="10"/>
        <v>0</v>
      </c>
    </row>
    <row r="171" spans="2:10" ht="12.75">
      <c r="B171" s="323" t="s">
        <v>155</v>
      </c>
      <c r="C171" s="606">
        <v>0.66</v>
      </c>
      <c r="D171" s="606">
        <v>0.8</v>
      </c>
      <c r="E171" s="671">
        <f t="shared" si="8"/>
        <v>0.73</v>
      </c>
      <c r="H171" s="138">
        <v>4918000</v>
      </c>
      <c r="I171">
        <f t="shared" si="9"/>
        <v>3245880</v>
      </c>
      <c r="J171">
        <f t="shared" si="10"/>
        <v>3934400</v>
      </c>
    </row>
    <row r="172" spans="2:10" ht="12.75">
      <c r="B172" s="323" t="s">
        <v>13</v>
      </c>
      <c r="C172" s="673">
        <v>0.9456875185890661</v>
      </c>
      <c r="D172" s="606">
        <v>1.01</v>
      </c>
      <c r="E172" s="671">
        <f t="shared" si="8"/>
        <v>0.977843759294533</v>
      </c>
      <c r="H172" s="138">
        <v>4553000</v>
      </c>
      <c r="I172">
        <f t="shared" si="9"/>
        <v>4305715.272136018</v>
      </c>
      <c r="J172">
        <f t="shared" si="10"/>
        <v>4598530</v>
      </c>
    </row>
    <row r="173" spans="2:10" ht="12.75">
      <c r="B173" s="323" t="s">
        <v>27</v>
      </c>
      <c r="C173" s="606">
        <v>1.15</v>
      </c>
      <c r="D173" s="606">
        <v>1.78</v>
      </c>
      <c r="E173" s="671">
        <f t="shared" si="8"/>
        <v>1.4649999999999999</v>
      </c>
      <c r="H173" s="138">
        <v>5448000</v>
      </c>
      <c r="I173">
        <f t="shared" si="9"/>
        <v>6265199.999999999</v>
      </c>
      <c r="J173">
        <f t="shared" si="10"/>
        <v>9697440</v>
      </c>
    </row>
    <row r="174" spans="2:10" ht="12.75">
      <c r="B174" s="323" t="s">
        <v>62</v>
      </c>
      <c r="C174" s="606">
        <v>1.3</v>
      </c>
      <c r="D174" s="606">
        <v>1.82</v>
      </c>
      <c r="E174" s="671">
        <f t="shared" si="8"/>
        <v>1.56</v>
      </c>
      <c r="H174" s="138">
        <v>2009000</v>
      </c>
      <c r="I174">
        <f t="shared" si="9"/>
        <v>2611700</v>
      </c>
      <c r="J174">
        <f t="shared" si="10"/>
        <v>3656380</v>
      </c>
    </row>
    <row r="175" spans="2:10" ht="12.75">
      <c r="B175" s="323" t="s">
        <v>111</v>
      </c>
      <c r="C175" s="322"/>
      <c r="D175" s="322"/>
      <c r="E175" s="671"/>
      <c r="H175" s="138">
        <v>521000</v>
      </c>
      <c r="I175">
        <f t="shared" si="9"/>
        <v>0</v>
      </c>
      <c r="J175">
        <f t="shared" si="10"/>
        <v>0</v>
      </c>
    </row>
    <row r="176" spans="2:10" ht="12.75">
      <c r="B176" s="321" t="s">
        <v>188</v>
      </c>
      <c r="C176" s="606">
        <v>0.4</v>
      </c>
      <c r="D176" s="606">
        <v>1.4</v>
      </c>
      <c r="E176" s="671">
        <f t="shared" si="8"/>
        <v>0.8999999999999999</v>
      </c>
      <c r="H176" s="138">
        <v>9292000</v>
      </c>
      <c r="I176">
        <f t="shared" si="9"/>
        <v>3716800</v>
      </c>
      <c r="J176">
        <f t="shared" si="10"/>
        <v>13008800</v>
      </c>
    </row>
    <row r="177" spans="2:10" ht="12.75">
      <c r="B177" s="323" t="s">
        <v>112</v>
      </c>
      <c r="C177" s="606">
        <v>0.89</v>
      </c>
      <c r="D177" s="606">
        <v>1.07</v>
      </c>
      <c r="E177" s="671">
        <f t="shared" si="8"/>
        <v>0.98</v>
      </c>
      <c r="H177" s="138">
        <v>48367000</v>
      </c>
      <c r="I177">
        <f t="shared" si="9"/>
        <v>43046630</v>
      </c>
      <c r="J177">
        <f t="shared" si="10"/>
        <v>51752690</v>
      </c>
    </row>
    <row r="178" spans="2:10" ht="12.75">
      <c r="B178" s="323" t="s">
        <v>95</v>
      </c>
      <c r="C178" s="606">
        <v>1.62</v>
      </c>
      <c r="D178" s="606">
        <v>1.23</v>
      </c>
      <c r="E178" s="671">
        <f t="shared" si="8"/>
        <v>1.425</v>
      </c>
      <c r="H178" s="138">
        <v>48250000</v>
      </c>
      <c r="I178">
        <f t="shared" si="9"/>
        <v>78165000</v>
      </c>
      <c r="J178">
        <f t="shared" si="10"/>
        <v>59347500</v>
      </c>
    </row>
    <row r="179" spans="2:10" ht="12.75">
      <c r="B179" s="323" t="s">
        <v>37</v>
      </c>
      <c r="C179" s="606">
        <v>2.51</v>
      </c>
      <c r="D179" s="606">
        <v>2.29</v>
      </c>
      <c r="E179" s="671">
        <f t="shared" si="8"/>
        <v>2.4</v>
      </c>
      <c r="H179" s="138">
        <v>45212000</v>
      </c>
      <c r="I179">
        <f t="shared" si="9"/>
        <v>113482119.99999999</v>
      </c>
      <c r="J179">
        <f t="shared" si="10"/>
        <v>103535480</v>
      </c>
    </row>
    <row r="180" spans="2:10" ht="12.75">
      <c r="B180" s="323" t="s">
        <v>65</v>
      </c>
      <c r="C180" s="606">
        <v>0.73</v>
      </c>
      <c r="D180" s="606">
        <v>0.63</v>
      </c>
      <c r="E180" s="671">
        <f t="shared" si="8"/>
        <v>0.6799999999999999</v>
      </c>
      <c r="H180" s="138">
        <v>20926000</v>
      </c>
      <c r="I180">
        <f t="shared" si="9"/>
        <v>15275980</v>
      </c>
      <c r="J180">
        <f t="shared" si="10"/>
        <v>13183380</v>
      </c>
    </row>
    <row r="181" spans="2:10" ht="12.75">
      <c r="B181" s="323" t="s">
        <v>124</v>
      </c>
      <c r="C181" s="606">
        <v>0.89</v>
      </c>
      <c r="D181" s="606">
        <v>2.14</v>
      </c>
      <c r="E181" s="671">
        <f t="shared" si="8"/>
        <v>1.5150000000000001</v>
      </c>
      <c r="H181" s="138">
        <v>40526000</v>
      </c>
      <c r="I181">
        <f t="shared" si="9"/>
        <v>36068140</v>
      </c>
      <c r="J181">
        <f t="shared" si="10"/>
        <v>86725640</v>
      </c>
    </row>
    <row r="182" spans="2:10" ht="12.75">
      <c r="B182" s="323" t="s">
        <v>49</v>
      </c>
      <c r="C182" s="322"/>
      <c r="D182" s="322"/>
      <c r="E182" s="671"/>
      <c r="H182" s="138">
        <v>471000</v>
      </c>
      <c r="I182">
        <f t="shared" si="9"/>
        <v>0</v>
      </c>
      <c r="J182">
        <f t="shared" si="10"/>
        <v>0</v>
      </c>
    </row>
    <row r="183" spans="2:10" ht="12.75">
      <c r="B183" s="323" t="s">
        <v>101</v>
      </c>
      <c r="C183" s="606">
        <v>0.87</v>
      </c>
      <c r="D183" s="606">
        <v>0.7</v>
      </c>
      <c r="E183" s="671">
        <f t="shared" si="8"/>
        <v>0.7849999999999999</v>
      </c>
      <c r="H183" s="138">
        <v>1300000</v>
      </c>
      <c r="I183">
        <f t="shared" si="9"/>
        <v>1131000</v>
      </c>
      <c r="J183">
        <f t="shared" si="10"/>
        <v>910000</v>
      </c>
    </row>
    <row r="184" spans="2:10" ht="12.75">
      <c r="B184" s="323" t="s">
        <v>19</v>
      </c>
      <c r="C184" s="606">
        <v>3.41</v>
      </c>
      <c r="D184" s="606">
        <v>4.15</v>
      </c>
      <c r="E184" s="671">
        <f t="shared" si="8"/>
        <v>3.7800000000000002</v>
      </c>
      <c r="H184" s="138">
        <v>9031000</v>
      </c>
      <c r="I184">
        <f t="shared" si="9"/>
        <v>30795710</v>
      </c>
      <c r="J184">
        <f t="shared" si="10"/>
        <v>37478650</v>
      </c>
    </row>
    <row r="185" spans="2:10" ht="12.75">
      <c r="B185" s="323" t="s">
        <v>17</v>
      </c>
      <c r="C185" s="606">
        <v>1.54</v>
      </c>
      <c r="D185" s="606">
        <v>1.27</v>
      </c>
      <c r="E185" s="671">
        <f t="shared" si="8"/>
        <v>1.405</v>
      </c>
      <c r="H185" s="138">
        <v>7589000</v>
      </c>
      <c r="I185">
        <f t="shared" si="9"/>
        <v>11687060</v>
      </c>
      <c r="J185">
        <f t="shared" si="10"/>
        <v>9638030</v>
      </c>
    </row>
    <row r="186" spans="2:10" ht="12.75">
      <c r="B186" s="323" t="s">
        <v>63</v>
      </c>
      <c r="C186" s="606">
        <v>0.8</v>
      </c>
      <c r="D186" s="606">
        <v>1.05</v>
      </c>
      <c r="E186" s="671">
        <f t="shared" si="8"/>
        <v>0.925</v>
      </c>
      <c r="H186" s="138">
        <v>20488000</v>
      </c>
      <c r="I186">
        <f t="shared" si="9"/>
        <v>16390400</v>
      </c>
      <c r="J186">
        <f t="shared" si="10"/>
        <v>21512400</v>
      </c>
    </row>
    <row r="187" spans="2:10" ht="12.75">
      <c r="B187" s="321" t="s">
        <v>192</v>
      </c>
      <c r="C187" s="322"/>
      <c r="D187" s="322"/>
      <c r="E187" s="671"/>
      <c r="H187" s="138">
        <v>22859000</v>
      </c>
      <c r="I187">
        <f t="shared" si="9"/>
        <v>0</v>
      </c>
      <c r="J187">
        <f t="shared" si="10"/>
        <v>0</v>
      </c>
    </row>
    <row r="188" spans="2:10" ht="12.75">
      <c r="B188" s="323" t="s">
        <v>109</v>
      </c>
      <c r="C188" s="606">
        <v>0.38</v>
      </c>
      <c r="D188" s="606">
        <v>0.45</v>
      </c>
      <c r="E188" s="671">
        <f t="shared" si="8"/>
        <v>0.41500000000000004</v>
      </c>
      <c r="H188" s="138">
        <v>7077000</v>
      </c>
      <c r="I188">
        <f t="shared" si="9"/>
        <v>2689260</v>
      </c>
      <c r="J188">
        <f t="shared" si="10"/>
        <v>3184650</v>
      </c>
    </row>
    <row r="189" spans="2:10" ht="12.75">
      <c r="B189" s="323" t="s">
        <v>121</v>
      </c>
      <c r="C189" s="606">
        <v>0.65</v>
      </c>
      <c r="D189" s="606">
        <v>1.01</v>
      </c>
      <c r="E189" s="671">
        <f t="shared" si="8"/>
        <v>0.8300000000000001</v>
      </c>
      <c r="H189" s="138">
        <v>39384000</v>
      </c>
      <c r="I189">
        <f t="shared" si="9"/>
        <v>25599600</v>
      </c>
      <c r="J189">
        <f t="shared" si="10"/>
        <v>39777840</v>
      </c>
    </row>
    <row r="190" spans="2:10" ht="12.75">
      <c r="B190" s="323" t="s">
        <v>72</v>
      </c>
      <c r="C190" s="606">
        <v>0.76</v>
      </c>
      <c r="D190" s="606">
        <v>1.21</v>
      </c>
      <c r="E190" s="671">
        <f t="shared" si="8"/>
        <v>0.985</v>
      </c>
      <c r="H190" s="138">
        <v>65717000</v>
      </c>
      <c r="I190">
        <f t="shared" si="9"/>
        <v>49944920</v>
      </c>
      <c r="J190">
        <f t="shared" si="10"/>
        <v>79517570</v>
      </c>
    </row>
    <row r="191" spans="2:10" ht="12.75">
      <c r="B191" s="321" t="s">
        <v>185</v>
      </c>
      <c r="C191" s="673">
        <v>0.3774429529366709</v>
      </c>
      <c r="D191" s="673">
        <v>0.4031113607534983</v>
      </c>
      <c r="E191" s="671">
        <f t="shared" si="8"/>
        <v>0.39027715684508457</v>
      </c>
      <c r="H191" s="138">
        <v>1086000</v>
      </c>
      <c r="I191">
        <f t="shared" si="9"/>
        <v>409903.0468892246</v>
      </c>
      <c r="J191">
        <f t="shared" si="10"/>
        <v>437778.93777829915</v>
      </c>
    </row>
    <row r="192" spans="2:10" ht="12.75">
      <c r="B192" s="323" t="s">
        <v>151</v>
      </c>
      <c r="C192" s="606">
        <v>0.82</v>
      </c>
      <c r="D192" s="606">
        <v>0.8</v>
      </c>
      <c r="E192" s="671">
        <f t="shared" si="8"/>
        <v>0.81</v>
      </c>
      <c r="H192" s="138">
        <v>6042000</v>
      </c>
      <c r="I192">
        <f t="shared" si="9"/>
        <v>4954440</v>
      </c>
      <c r="J192">
        <f t="shared" si="10"/>
        <v>4833600</v>
      </c>
    </row>
    <row r="193" spans="2:10" ht="12.75">
      <c r="B193" s="321" t="s">
        <v>178</v>
      </c>
      <c r="C193" s="322"/>
      <c r="D193" s="322"/>
      <c r="E193" s="671"/>
      <c r="H193" s="138">
        <v>117000</v>
      </c>
      <c r="I193">
        <f t="shared" si="9"/>
        <v>0</v>
      </c>
      <c r="J193">
        <f t="shared" si="10"/>
        <v>0</v>
      </c>
    </row>
    <row r="194" spans="2:10" ht="12.75">
      <c r="B194" s="323" t="s">
        <v>103</v>
      </c>
      <c r="C194" s="606">
        <v>1.02</v>
      </c>
      <c r="D194" s="606">
        <v>0.97</v>
      </c>
      <c r="E194" s="671">
        <f t="shared" si="8"/>
        <v>0.995</v>
      </c>
      <c r="H194" s="138">
        <v>1233000</v>
      </c>
      <c r="I194">
        <f t="shared" si="9"/>
        <v>1257660</v>
      </c>
      <c r="J194">
        <f t="shared" si="10"/>
        <v>1196010</v>
      </c>
    </row>
    <row r="195" spans="2:10" ht="12.75">
      <c r="B195" s="323" t="s">
        <v>78</v>
      </c>
      <c r="C195" s="606">
        <v>0.85</v>
      </c>
      <c r="D195" s="606">
        <v>1.23</v>
      </c>
      <c r="E195" s="671">
        <f t="shared" si="8"/>
        <v>1.04</v>
      </c>
      <c r="H195" s="138">
        <v>10281000</v>
      </c>
      <c r="I195">
        <f t="shared" si="9"/>
        <v>8738850</v>
      </c>
      <c r="J195">
        <f t="shared" si="10"/>
        <v>12645630</v>
      </c>
    </row>
    <row r="196" spans="2:10" ht="12.75">
      <c r="B196" s="323" t="s">
        <v>81</v>
      </c>
      <c r="C196" s="606">
        <v>1.17</v>
      </c>
      <c r="D196" s="606">
        <v>1.33</v>
      </c>
      <c r="E196" s="671">
        <f t="shared" si="8"/>
        <v>1.25</v>
      </c>
      <c r="H196" s="138">
        <v>74768000</v>
      </c>
      <c r="I196">
        <f t="shared" si="9"/>
        <v>87478560</v>
      </c>
      <c r="J196">
        <f t="shared" si="10"/>
        <v>99441440</v>
      </c>
    </row>
    <row r="197" spans="2:10" ht="12.75">
      <c r="B197" s="323" t="s">
        <v>14</v>
      </c>
      <c r="C197" s="606">
        <v>1.11</v>
      </c>
      <c r="D197" s="606">
        <v>1.44</v>
      </c>
      <c r="E197" s="671">
        <f t="shared" si="8"/>
        <v>1.275</v>
      </c>
      <c r="H197" s="138">
        <v>4774000</v>
      </c>
      <c r="I197">
        <f t="shared" si="9"/>
        <v>5299140.000000001</v>
      </c>
      <c r="J197">
        <f t="shared" si="10"/>
        <v>6874560</v>
      </c>
    </row>
    <row r="198" spans="2:10" ht="12.75">
      <c r="B198" s="323" t="s">
        <v>115</v>
      </c>
      <c r="C198" s="606">
        <v>1.05</v>
      </c>
      <c r="D198" s="606">
        <v>1.37</v>
      </c>
      <c r="E198" s="671">
        <f t="shared" si="8"/>
        <v>1.21</v>
      </c>
      <c r="H198" s="138">
        <v>30263000</v>
      </c>
      <c r="I198">
        <f t="shared" si="9"/>
        <v>31776150</v>
      </c>
      <c r="J198">
        <f t="shared" si="10"/>
        <v>41460310</v>
      </c>
    </row>
    <row r="199" spans="2:10" ht="12.75">
      <c r="B199" s="323" t="s">
        <v>15</v>
      </c>
      <c r="C199" s="606">
        <v>1.18</v>
      </c>
      <c r="D199" s="606">
        <v>1.24</v>
      </c>
      <c r="E199" s="671">
        <f t="shared" si="8"/>
        <v>1.21</v>
      </c>
      <c r="H199" s="138">
        <v>46300000</v>
      </c>
      <c r="I199">
        <f t="shared" si="9"/>
        <v>54634000</v>
      </c>
      <c r="J199">
        <f t="shared" si="10"/>
        <v>57412000</v>
      </c>
    </row>
    <row r="200" spans="2:10" ht="12.75">
      <c r="B200" s="321" t="s">
        <v>145</v>
      </c>
      <c r="C200" s="606">
        <v>2.84</v>
      </c>
      <c r="D200" s="606">
        <v>1.68</v>
      </c>
      <c r="E200" s="671">
        <f t="shared" si="8"/>
        <v>2.26</v>
      </c>
      <c r="H200" s="138">
        <v>4444000</v>
      </c>
      <c r="I200">
        <f t="shared" si="9"/>
        <v>12620960</v>
      </c>
      <c r="J200">
        <f t="shared" si="10"/>
        <v>7465920</v>
      </c>
    </row>
    <row r="201" spans="2:10" ht="12.75">
      <c r="B201" s="323" t="s">
        <v>28</v>
      </c>
      <c r="C201" s="606">
        <v>2.08</v>
      </c>
      <c r="D201" s="606">
        <v>1.79</v>
      </c>
      <c r="E201" s="671">
        <f t="shared" si="8"/>
        <v>1.935</v>
      </c>
      <c r="H201" s="138">
        <v>61506000</v>
      </c>
      <c r="I201">
        <f t="shared" si="9"/>
        <v>127932480</v>
      </c>
      <c r="J201">
        <f t="shared" si="10"/>
        <v>110095740</v>
      </c>
    </row>
    <row r="202" spans="2:10" ht="12.75">
      <c r="B202" s="321" t="s">
        <v>287</v>
      </c>
      <c r="C202" s="606">
        <v>3.38</v>
      </c>
      <c r="D202" s="606">
        <v>2.89</v>
      </c>
      <c r="E202" s="671">
        <f t="shared" si="8"/>
        <v>3.135</v>
      </c>
      <c r="H202" s="138">
        <v>301580000</v>
      </c>
      <c r="I202">
        <f t="shared" si="9"/>
        <v>1019340400</v>
      </c>
      <c r="J202">
        <f t="shared" si="10"/>
        <v>871566200</v>
      </c>
    </row>
    <row r="203" spans="2:10" ht="12.75">
      <c r="B203" s="323" t="s">
        <v>86</v>
      </c>
      <c r="C203" s="606">
        <v>1.68</v>
      </c>
      <c r="D203" s="606">
        <v>5.27</v>
      </c>
      <c r="E203" s="671">
        <f t="shared" si="8"/>
        <v>3.4749999999999996</v>
      </c>
      <c r="H203" s="138">
        <v>3461000</v>
      </c>
      <c r="I203">
        <f t="shared" si="9"/>
        <v>5814480</v>
      </c>
      <c r="J203">
        <f t="shared" si="10"/>
        <v>18239470</v>
      </c>
    </row>
    <row r="204" spans="2:10" ht="12.75">
      <c r="B204" s="323" t="s">
        <v>138</v>
      </c>
      <c r="C204" s="606">
        <v>0.55</v>
      </c>
      <c r="D204" s="606">
        <v>0.61</v>
      </c>
      <c r="E204" s="671">
        <f t="shared" si="8"/>
        <v>0.5800000000000001</v>
      </c>
      <c r="H204" s="138">
        <v>27079000</v>
      </c>
      <c r="I204">
        <f t="shared" si="9"/>
        <v>14893450.000000002</v>
      </c>
      <c r="J204">
        <f t="shared" si="10"/>
        <v>16518190</v>
      </c>
    </row>
    <row r="205" spans="2:10" ht="12.75">
      <c r="B205" s="321" t="s">
        <v>182</v>
      </c>
      <c r="C205" s="322"/>
      <c r="D205" s="322"/>
      <c r="E205" s="671"/>
      <c r="H205" s="138">
        <v>212000</v>
      </c>
      <c r="I205">
        <f t="shared" si="9"/>
        <v>0</v>
      </c>
      <c r="J205">
        <f t="shared" si="10"/>
        <v>0</v>
      </c>
    </row>
    <row r="206" spans="2:10" ht="12.75">
      <c r="B206" s="323" t="s">
        <v>70</v>
      </c>
      <c r="C206" s="606">
        <v>1.05</v>
      </c>
      <c r="D206" s="606">
        <v>1.5</v>
      </c>
      <c r="E206" s="671">
        <f aca="true" t="shared" si="11" ref="E206:E211">SUM(C206:D206)/2</f>
        <v>1.275</v>
      </c>
      <c r="H206" s="138">
        <v>26024000</v>
      </c>
      <c r="I206">
        <f t="shared" si="9"/>
        <v>27325200</v>
      </c>
      <c r="J206">
        <f t="shared" si="10"/>
        <v>39036000</v>
      </c>
    </row>
    <row r="207" spans="2:10" ht="12.75">
      <c r="B207" s="323" t="s">
        <v>205</v>
      </c>
      <c r="C207" s="606">
        <v>0.62</v>
      </c>
      <c r="D207" s="606">
        <v>0.84</v>
      </c>
      <c r="E207" s="671">
        <f t="shared" si="11"/>
        <v>0.73</v>
      </c>
      <c r="H207" s="138">
        <v>86519000</v>
      </c>
      <c r="I207">
        <f t="shared" si="9"/>
        <v>53641780</v>
      </c>
      <c r="J207">
        <f t="shared" si="10"/>
        <v>72675960</v>
      </c>
    </row>
    <row r="208" spans="2:10" ht="12.75">
      <c r="B208" s="321" t="s">
        <v>181</v>
      </c>
      <c r="C208" s="322"/>
      <c r="D208" s="322"/>
      <c r="E208" s="671"/>
      <c r="H208" s="138">
        <v>445000</v>
      </c>
      <c r="I208">
        <f t="shared" si="9"/>
        <v>0</v>
      </c>
      <c r="J208">
        <f t="shared" si="10"/>
        <v>0</v>
      </c>
    </row>
    <row r="209" spans="2:10" ht="12.75">
      <c r="B209" s="323" t="s">
        <v>119</v>
      </c>
      <c r="C209" s="606">
        <v>0.49</v>
      </c>
      <c r="D209" s="606">
        <v>0.54</v>
      </c>
      <c r="E209" s="671">
        <f t="shared" si="11"/>
        <v>0.515</v>
      </c>
      <c r="H209" s="138">
        <v>21591000</v>
      </c>
      <c r="I209">
        <f t="shared" si="9"/>
        <v>10579590</v>
      </c>
      <c r="J209">
        <f t="shared" si="10"/>
        <v>11659140</v>
      </c>
    </row>
    <row r="210" spans="2:10" ht="12.75">
      <c r="B210" s="323" t="s">
        <v>125</v>
      </c>
      <c r="C210" s="606">
        <v>0.51</v>
      </c>
      <c r="D210" s="606">
        <v>0.66</v>
      </c>
      <c r="E210" s="671">
        <f t="shared" si="11"/>
        <v>0.585</v>
      </c>
      <c r="H210" s="138">
        <v>12341000</v>
      </c>
      <c r="I210">
        <f t="shared" si="9"/>
        <v>6293910</v>
      </c>
      <c r="J210">
        <f t="shared" si="10"/>
        <v>8145060</v>
      </c>
    </row>
    <row r="211" spans="2:10" ht="12.75">
      <c r="B211" s="323" t="s">
        <v>122</v>
      </c>
      <c r="C211" s="606">
        <v>0.68</v>
      </c>
      <c r="D211" s="606">
        <v>0.89</v>
      </c>
      <c r="E211" s="671">
        <f t="shared" si="11"/>
        <v>0.785</v>
      </c>
      <c r="H211" s="138">
        <v>11443000</v>
      </c>
      <c r="I211">
        <f t="shared" si="9"/>
        <v>7781240.000000001</v>
      </c>
      <c r="J211">
        <f t="shared" si="10"/>
        <v>10184270</v>
      </c>
    </row>
    <row r="212" spans="8:10" ht="12.75">
      <c r="H212" s="138">
        <f>SUM(H13:H211)</f>
        <v>6617000000</v>
      </c>
      <c r="I212">
        <f>SUM(I13:I211)</f>
        <v>6977992269.678301</v>
      </c>
      <c r="J212">
        <f>SUM(J13:J211)</f>
        <v>7857845762.136109</v>
      </c>
    </row>
    <row r="213" spans="9:10" ht="12.75">
      <c r="I213" s="88">
        <f>I212/H212</f>
        <v>1.0545552772673872</v>
      </c>
      <c r="J213" s="88">
        <f>J212/H212</f>
        <v>1.187523917505835</v>
      </c>
    </row>
  </sheetData>
  <sheetProtection/>
  <hyperlinks>
    <hyperlink ref="A3" r:id="rId1" display="Kilder"/>
  </hyperlinks>
  <printOptions/>
  <pageMargins left="0.7" right="0.7" top="0.75" bottom="0.75" header="0.3" footer="0.3"/>
  <pageSetup orientation="portrait" paperSize="9"/>
  <legacyDrawing r:id="rId3"/>
</worksheet>
</file>

<file path=xl/worksheets/sheet7.xml><?xml version="1.0" encoding="utf-8"?>
<worksheet xmlns="http://schemas.openxmlformats.org/spreadsheetml/2006/main" xmlns:r="http://schemas.openxmlformats.org/officeDocument/2006/relationships">
  <sheetPr>
    <tabColor theme="2" tint="-0.24997000396251678"/>
  </sheetPr>
  <dimension ref="A1:Y230"/>
  <sheetViews>
    <sheetView zoomScalePageLayoutView="0" workbookViewId="0" topLeftCell="A1">
      <selection activeCell="A2" sqref="A2:C2"/>
    </sheetView>
  </sheetViews>
  <sheetFormatPr defaultColWidth="9.140625" defaultRowHeight="12.75"/>
  <cols>
    <col min="1" max="1" width="20.28125" style="0" customWidth="1"/>
    <col min="2" max="19" width="20.00390625" style="0" customWidth="1"/>
    <col min="20" max="20" width="15.7109375" style="0" bestFit="1" customWidth="1"/>
    <col min="22" max="22" width="24.57421875" style="0" customWidth="1"/>
    <col min="23" max="23" width="19.00390625" style="0" customWidth="1"/>
  </cols>
  <sheetData>
    <row r="1" spans="1:25" ht="12.75">
      <c r="A1" s="476" t="s">
        <v>337</v>
      </c>
      <c r="B1" s="10"/>
      <c r="C1" s="21"/>
      <c r="D1" s="21"/>
      <c r="E1" s="21"/>
      <c r="F1" s="21"/>
      <c r="G1" s="1"/>
      <c r="H1" s="1"/>
      <c r="I1" s="477" t="s">
        <v>338</v>
      </c>
      <c r="J1" s="477" t="s">
        <v>339</v>
      </c>
      <c r="K1" s="477" t="s">
        <v>340</v>
      </c>
      <c r="L1" s="477" t="s">
        <v>340</v>
      </c>
      <c r="M1" s="477" t="s">
        <v>340</v>
      </c>
      <c r="N1" s="477" t="s">
        <v>341</v>
      </c>
      <c r="O1" s="477" t="s">
        <v>341</v>
      </c>
      <c r="P1" s="477" t="s">
        <v>342</v>
      </c>
      <c r="Q1" s="477" t="s">
        <v>343</v>
      </c>
      <c r="R1" s="477" t="s">
        <v>344</v>
      </c>
      <c r="S1" s="477" t="s">
        <v>345</v>
      </c>
      <c r="T1" s="477" t="s">
        <v>346</v>
      </c>
      <c r="U1" s="1"/>
      <c r="V1" s="478">
        <v>0.0001</v>
      </c>
      <c r="W1" s="479">
        <f>W4/100*0.01</f>
        <v>14800000000</v>
      </c>
      <c r="X1" s="1"/>
      <c r="Y1" s="1"/>
    </row>
    <row r="2" spans="1:25" ht="12.75">
      <c r="A2" s="314" t="s">
        <v>385</v>
      </c>
      <c r="B2" s="10"/>
      <c r="C2" s="21"/>
      <c r="D2" s="480"/>
      <c r="E2" s="21"/>
      <c r="F2" s="21"/>
      <c r="G2" s="1"/>
      <c r="H2" s="1"/>
      <c r="I2" s="477" t="s">
        <v>222</v>
      </c>
      <c r="J2" s="477" t="s">
        <v>347</v>
      </c>
      <c r="K2" s="477" t="s">
        <v>348</v>
      </c>
      <c r="L2" s="477" t="s">
        <v>349</v>
      </c>
      <c r="M2" s="477" t="s">
        <v>397</v>
      </c>
      <c r="N2" s="477" t="s">
        <v>350</v>
      </c>
      <c r="O2" s="477" t="s">
        <v>396</v>
      </c>
      <c r="P2" s="477" t="s">
        <v>351</v>
      </c>
      <c r="Q2" s="477" t="s">
        <v>400</v>
      </c>
      <c r="R2" s="477" t="s">
        <v>352</v>
      </c>
      <c r="S2" s="477" t="s">
        <v>353</v>
      </c>
      <c r="T2" s="477" t="s">
        <v>354</v>
      </c>
      <c r="U2" s="1"/>
      <c r="V2" s="481" t="s">
        <v>355</v>
      </c>
      <c r="W2" s="482">
        <f>W1/250</f>
        <v>59200000</v>
      </c>
      <c r="X2" s="483"/>
      <c r="Y2" s="1"/>
    </row>
    <row r="3" spans="1:25" ht="12.75">
      <c r="A3" s="484" t="s">
        <v>203</v>
      </c>
      <c r="B3" s="1"/>
      <c r="C3" s="1"/>
      <c r="D3" s="1"/>
      <c r="E3" s="1"/>
      <c r="F3" s="485"/>
      <c r="G3" s="1"/>
      <c r="H3" s="1"/>
      <c r="I3" s="477"/>
      <c r="J3" s="477"/>
      <c r="K3" s="477" t="s">
        <v>222</v>
      </c>
      <c r="L3" s="477" t="s">
        <v>222</v>
      </c>
      <c r="M3" s="477" t="s">
        <v>222</v>
      </c>
      <c r="N3" s="477" t="s">
        <v>401</v>
      </c>
      <c r="O3" s="477"/>
      <c r="P3" s="477"/>
      <c r="Q3" s="477" t="s">
        <v>356</v>
      </c>
      <c r="R3" s="477"/>
      <c r="S3" s="477" t="s">
        <v>349</v>
      </c>
      <c r="T3" s="477"/>
      <c r="U3" s="1"/>
      <c r="V3" s="486" t="s">
        <v>357</v>
      </c>
      <c r="W3" s="487"/>
      <c r="X3" s="488"/>
      <c r="Y3" s="1"/>
    </row>
    <row r="4" spans="1:25" ht="12.75">
      <c r="A4" s="10"/>
      <c r="B4" s="489" t="s">
        <v>358</v>
      </c>
      <c r="C4" s="489" t="s">
        <v>359</v>
      </c>
      <c r="D4" s="489" t="s">
        <v>360</v>
      </c>
      <c r="E4" s="489" t="s">
        <v>361</v>
      </c>
      <c r="F4" s="489" t="s">
        <v>330</v>
      </c>
      <c r="G4" s="662" t="s">
        <v>362</v>
      </c>
      <c r="H4" s="490" t="s">
        <v>363</v>
      </c>
      <c r="I4" s="644">
        <v>166786954035</v>
      </c>
      <c r="J4" s="645">
        <v>33.26</v>
      </c>
      <c r="K4" s="491">
        <f aca="true" t="shared" si="0" ref="K4:K15">I4*J4</f>
        <v>5547334091204.1</v>
      </c>
      <c r="L4" s="492">
        <f>K4/B229</f>
        <v>810.2556209250911</v>
      </c>
      <c r="M4" s="492">
        <f>K4/B229/6</f>
        <v>135.04260348751518</v>
      </c>
      <c r="N4" s="644">
        <v>1810000000000</v>
      </c>
      <c r="O4" s="493">
        <f aca="true" t="shared" si="1" ref="O4:O15">N4-I4</f>
        <v>1643213045965</v>
      </c>
      <c r="P4" s="494">
        <f>O4/(I4/5)</f>
        <v>49.26083863909926</v>
      </c>
      <c r="Q4" s="492">
        <f>L4+M20</f>
        <v>871.070119299101</v>
      </c>
      <c r="R4" s="492">
        <f>Q4*B229/I4</f>
        <v>35.75636060976684</v>
      </c>
      <c r="S4" s="652">
        <f>T4/R4</f>
        <v>0.06981584722817005</v>
      </c>
      <c r="T4" s="492">
        <f aca="true" t="shared" si="2" ref="T4:T15">R4-J4</f>
        <v>2.496360609766839</v>
      </c>
      <c r="U4" s="1"/>
      <c r="V4" s="495" t="s">
        <v>364</v>
      </c>
      <c r="W4" s="496">
        <v>148000000000000</v>
      </c>
      <c r="X4" s="497"/>
      <c r="Y4" s="1"/>
    </row>
    <row r="5" spans="1:25" ht="12.75">
      <c r="A5" s="1"/>
      <c r="B5" s="489"/>
      <c r="C5" s="489" t="s">
        <v>398</v>
      </c>
      <c r="D5" s="489" t="s">
        <v>365</v>
      </c>
      <c r="E5" s="489" t="s">
        <v>366</v>
      </c>
      <c r="F5" s="489" t="s">
        <v>367</v>
      </c>
      <c r="G5" s="663">
        <v>25</v>
      </c>
      <c r="H5" s="490" t="s">
        <v>368</v>
      </c>
      <c r="I5" s="644">
        <v>694421701840</v>
      </c>
      <c r="J5" s="645">
        <v>0.511</v>
      </c>
      <c r="K5" s="491">
        <f t="shared" si="0"/>
        <v>354849489640.24</v>
      </c>
      <c r="L5" s="492">
        <f>K5/B229</f>
        <v>51.830084295679356</v>
      </c>
      <c r="M5" s="492">
        <f>K5/B229/6</f>
        <v>8.638347382613226</v>
      </c>
      <c r="N5" s="644">
        <v>9400000000000</v>
      </c>
      <c r="O5" s="493">
        <f t="shared" si="1"/>
        <v>8705578298160</v>
      </c>
      <c r="P5" s="494">
        <f>O5/(I5/5)</f>
        <v>62.6822165486256</v>
      </c>
      <c r="Q5" s="492">
        <f>L5+M20</f>
        <v>112.64458266968926</v>
      </c>
      <c r="R5" s="492">
        <f>Q5*B229/I5</f>
        <v>1.1105785862866062</v>
      </c>
      <c r="S5" s="652">
        <f>T5/R5</f>
        <v>0.539879476959295</v>
      </c>
      <c r="T5" s="492">
        <f t="shared" si="2"/>
        <v>0.5995785862866062</v>
      </c>
      <c r="U5" s="1"/>
      <c r="V5" s="498" t="s">
        <v>369</v>
      </c>
      <c r="W5" s="499">
        <v>14800000000</v>
      </c>
      <c r="X5" s="500" t="s">
        <v>370</v>
      </c>
      <c r="Y5" s="1"/>
    </row>
    <row r="6" spans="1:25" ht="12.75">
      <c r="A6" s="1"/>
      <c r="B6" s="489"/>
      <c r="C6" s="489" t="s">
        <v>399</v>
      </c>
      <c r="D6" s="489" t="s">
        <v>371</v>
      </c>
      <c r="E6" s="489" t="s">
        <v>222</v>
      </c>
      <c r="F6" s="489" t="s">
        <v>372</v>
      </c>
      <c r="G6" s="664"/>
      <c r="H6" s="501" t="s">
        <v>373</v>
      </c>
      <c r="I6" s="644">
        <v>33772446.340969995</v>
      </c>
      <c r="J6" s="646">
        <v>47148</v>
      </c>
      <c r="K6" s="491">
        <f t="shared" si="0"/>
        <v>1592303300084.0532</v>
      </c>
      <c r="L6" s="492">
        <f>K6/B229</f>
        <v>232.57526550571112</v>
      </c>
      <c r="M6" s="492">
        <f>K6/B229/6</f>
        <v>38.762544250951855</v>
      </c>
      <c r="N6" s="644">
        <v>903500000</v>
      </c>
      <c r="O6" s="493">
        <f t="shared" si="1"/>
        <v>869727553.65903</v>
      </c>
      <c r="P6" s="494">
        <f>O6/(I6/5)</f>
        <v>128.76288926158526</v>
      </c>
      <c r="Q6" s="492">
        <f>L6+M20</f>
        <v>293.38976387972104</v>
      </c>
      <c r="R6" s="492">
        <f>Q6*B229/I6</f>
        <v>59476.40458379444</v>
      </c>
      <c r="S6" s="652">
        <f>T6/R6</f>
        <v>0.20728227723357656</v>
      </c>
      <c r="T6" s="492">
        <f t="shared" si="2"/>
        <v>12328.404583794443</v>
      </c>
      <c r="U6" s="1"/>
      <c r="V6" s="498" t="s">
        <v>374</v>
      </c>
      <c r="W6" s="502">
        <v>250</v>
      </c>
      <c r="X6" s="500" t="s">
        <v>370</v>
      </c>
      <c r="Y6" s="1"/>
    </row>
    <row r="7" spans="1:25" ht="12.75">
      <c r="A7" s="503" t="str">
        <f>A25</f>
        <v>Albania</v>
      </c>
      <c r="B7" s="621" t="s">
        <v>375</v>
      </c>
      <c r="C7" s="622">
        <f>C25/B25*R4/6</f>
        <v>0</v>
      </c>
      <c r="D7" s="623">
        <f>C25/I4</f>
        <v>0</v>
      </c>
      <c r="E7" s="624">
        <f>C25/N4</f>
        <v>0</v>
      </c>
      <c r="F7" s="625">
        <f>C7/G5/P4</f>
        <v>0</v>
      </c>
      <c r="G7" s="662" t="s">
        <v>346</v>
      </c>
      <c r="H7" s="504"/>
      <c r="I7" s="647">
        <v>1</v>
      </c>
      <c r="J7" s="651">
        <v>1</v>
      </c>
      <c r="K7" s="648">
        <f t="shared" si="0"/>
        <v>1</v>
      </c>
      <c r="L7" s="649">
        <f>K7/B229</f>
        <v>1.460621638436811E-10</v>
      </c>
      <c r="M7" s="649">
        <f>K7/B229/6</f>
        <v>2.434369397394685E-11</v>
      </c>
      <c r="N7" s="647">
        <v>1.1</v>
      </c>
      <c r="O7" s="650">
        <f t="shared" si="1"/>
        <v>0.10000000000000009</v>
      </c>
      <c r="P7" s="510">
        <f aca="true" t="shared" si="3" ref="P7:P15">O7/(I7/10)</f>
        <v>1.0000000000000009</v>
      </c>
      <c r="Q7" s="649">
        <f>L7+M20</f>
        <v>60.81449837415596</v>
      </c>
      <c r="R7" s="649">
        <f>Q7*B229/I7</f>
        <v>416360382276.9664</v>
      </c>
      <c r="S7" s="653">
        <f aca="true" t="shared" si="4" ref="S7:S15">T7/R7</f>
        <v>0.9999999999975983</v>
      </c>
      <c r="T7" s="649">
        <f t="shared" si="2"/>
        <v>416360382275.9664</v>
      </c>
      <c r="U7" s="1"/>
      <c r="V7" s="498" t="s">
        <v>376</v>
      </c>
      <c r="W7" s="502">
        <f>W5/W6-W2</f>
        <v>0</v>
      </c>
      <c r="X7" s="497"/>
      <c r="Y7" s="1"/>
    </row>
    <row r="8" spans="1:25" ht="12.75">
      <c r="A8" s="1"/>
      <c r="B8" s="621" t="s">
        <v>377</v>
      </c>
      <c r="C8" s="622">
        <f>D25/B25*R5/6</f>
        <v>0.6554158217699114</v>
      </c>
      <c r="D8" s="623">
        <f>D25/I5</f>
        <v>1.5256579643072636E-05</v>
      </c>
      <c r="E8" s="624">
        <f>D25/N5</f>
        <v>1.1270744680851064E-06</v>
      </c>
      <c r="F8" s="625">
        <f>C8/G5/P5</f>
        <v>0.00041824674228708807</v>
      </c>
      <c r="G8" s="665">
        <v>1</v>
      </c>
      <c r="H8" s="504"/>
      <c r="I8" s="647">
        <v>1</v>
      </c>
      <c r="J8" s="651">
        <v>1</v>
      </c>
      <c r="K8" s="648">
        <f t="shared" si="0"/>
        <v>1</v>
      </c>
      <c r="L8" s="649">
        <f>K8/B229</f>
        <v>1.460621638436811E-10</v>
      </c>
      <c r="M8" s="649">
        <f>K8/B229/6</f>
        <v>2.434369397394685E-11</v>
      </c>
      <c r="N8" s="647">
        <v>1.1</v>
      </c>
      <c r="O8" s="650">
        <f t="shared" si="1"/>
        <v>0.10000000000000009</v>
      </c>
      <c r="P8" s="510">
        <f t="shared" si="3"/>
        <v>1.0000000000000009</v>
      </c>
      <c r="Q8" s="649">
        <f>L8+M20</f>
        <v>60.81449837415596</v>
      </c>
      <c r="R8" s="649">
        <f>Q8*B229/I8</f>
        <v>416360382276.9664</v>
      </c>
      <c r="S8" s="653">
        <f t="shared" si="4"/>
        <v>0.9999999999975983</v>
      </c>
      <c r="T8" s="649">
        <f t="shared" si="2"/>
        <v>416360382275.9664</v>
      </c>
      <c r="U8" s="1"/>
      <c r="V8" s="1"/>
      <c r="W8" s="1"/>
      <c r="X8" s="1"/>
      <c r="Y8" s="1"/>
    </row>
    <row r="9" spans="1:25" ht="12.75">
      <c r="A9" s="1"/>
      <c r="B9" s="621" t="s">
        <v>378</v>
      </c>
      <c r="C9" s="622">
        <f>E25/B25*R6/6</f>
        <v>1.2928240156354782</v>
      </c>
      <c r="D9" s="623">
        <f>E25/I6</f>
        <v>1.1554336812332686E-05</v>
      </c>
      <c r="E9" s="624">
        <f>E25/N6</f>
        <v>4.3189620365246264E-07</v>
      </c>
      <c r="F9" s="625">
        <f>C9/G5/P6</f>
        <v>0.0004016138572377237</v>
      </c>
      <c r="G9" s="1"/>
      <c r="H9" s="1"/>
      <c r="I9" s="647">
        <v>1</v>
      </c>
      <c r="J9" s="651">
        <v>1</v>
      </c>
      <c r="K9" s="648">
        <f t="shared" si="0"/>
        <v>1</v>
      </c>
      <c r="L9" s="649">
        <f>K9/B229</f>
        <v>1.460621638436811E-10</v>
      </c>
      <c r="M9" s="649">
        <f>K9/B229/6</f>
        <v>2.434369397394685E-11</v>
      </c>
      <c r="N9" s="647">
        <v>1.1</v>
      </c>
      <c r="O9" s="650">
        <f t="shared" si="1"/>
        <v>0.10000000000000009</v>
      </c>
      <c r="P9" s="510">
        <f t="shared" si="3"/>
        <v>1.0000000000000009</v>
      </c>
      <c r="Q9" s="649">
        <f>L9+M20</f>
        <v>60.81449837415596</v>
      </c>
      <c r="R9" s="649">
        <f>Q9*B229/I9</f>
        <v>416360382276.9664</v>
      </c>
      <c r="S9" s="653">
        <f>T9/R9</f>
        <v>0.9999999999975983</v>
      </c>
      <c r="T9" s="649">
        <f t="shared" si="2"/>
        <v>416360382275.9664</v>
      </c>
      <c r="U9" s="1"/>
      <c r="V9" s="1"/>
      <c r="W9" s="1"/>
      <c r="X9" s="1"/>
      <c r="Y9" s="1"/>
    </row>
    <row r="10" spans="1:25" ht="12.75" hidden="1">
      <c r="A10" s="583" t="s">
        <v>286</v>
      </c>
      <c r="B10" s="626"/>
      <c r="C10" s="627">
        <f>F25/B25*R7</f>
        <v>0</v>
      </c>
      <c r="D10" s="628">
        <f>F25/I7</f>
        <v>0</v>
      </c>
      <c r="E10" s="629">
        <f>F25/N7</f>
        <v>0</v>
      </c>
      <c r="F10" s="630">
        <f>C10/G5/P7</f>
        <v>0</v>
      </c>
      <c r="G10" s="1"/>
      <c r="H10" s="504"/>
      <c r="I10" s="505">
        <v>1</v>
      </c>
      <c r="J10" s="506">
        <v>1</v>
      </c>
      <c r="K10" s="507">
        <f t="shared" si="0"/>
        <v>1</v>
      </c>
      <c r="M10" s="508">
        <f>K10/B229</f>
        <v>1.460621638436811E-10</v>
      </c>
      <c r="N10" s="505">
        <v>1.1</v>
      </c>
      <c r="O10" s="509">
        <f t="shared" si="1"/>
        <v>0.10000000000000009</v>
      </c>
      <c r="P10" s="510">
        <f t="shared" si="3"/>
        <v>1.0000000000000009</v>
      </c>
      <c r="Q10" s="508">
        <f>M10+M20</f>
        <v>60.81449837415596</v>
      </c>
      <c r="R10" s="508">
        <f>Q10*B229/I10</f>
        <v>416360382276.9664</v>
      </c>
      <c r="S10" s="511">
        <f>T10/R10</f>
        <v>0.9999999999975983</v>
      </c>
      <c r="T10" s="508">
        <f t="shared" si="2"/>
        <v>416360382275.9664</v>
      </c>
      <c r="U10" s="1"/>
      <c r="V10" s="1"/>
      <c r="W10" s="1"/>
      <c r="X10" s="1"/>
      <c r="Y10" s="1"/>
    </row>
    <row r="11" spans="1:25" ht="12.75" hidden="1">
      <c r="A11" s="583" t="s">
        <v>286</v>
      </c>
      <c r="B11" s="626"/>
      <c r="C11" s="627">
        <f>G25/B25*R8</f>
        <v>0</v>
      </c>
      <c r="D11" s="628">
        <f>G25/I8</f>
        <v>0</v>
      </c>
      <c r="E11" s="629">
        <f>G25/N8</f>
        <v>0</v>
      </c>
      <c r="F11" s="630">
        <f>C11/G5/P8</f>
        <v>0</v>
      </c>
      <c r="G11" s="1"/>
      <c r="H11" s="1"/>
      <c r="I11" s="505">
        <v>1</v>
      </c>
      <c r="J11" s="506">
        <v>1</v>
      </c>
      <c r="K11" s="507">
        <f t="shared" si="0"/>
        <v>1</v>
      </c>
      <c r="M11" s="508">
        <f>K11/B229</f>
        <v>1.460621638436811E-10</v>
      </c>
      <c r="N11" s="505">
        <v>1.1</v>
      </c>
      <c r="O11" s="509">
        <f t="shared" si="1"/>
        <v>0.10000000000000009</v>
      </c>
      <c r="P11" s="510">
        <f t="shared" si="3"/>
        <v>1.0000000000000009</v>
      </c>
      <c r="Q11" s="508">
        <f>M11+M20</f>
        <v>60.81449837415596</v>
      </c>
      <c r="R11" s="508">
        <f>Q11*B229/I11</f>
        <v>416360382276.9664</v>
      </c>
      <c r="S11" s="511">
        <f>T11/R11</f>
        <v>0.9999999999975983</v>
      </c>
      <c r="T11" s="508">
        <f t="shared" si="2"/>
        <v>416360382275.9664</v>
      </c>
      <c r="U11" s="1"/>
      <c r="V11" s="1"/>
      <c r="W11" s="1"/>
      <c r="X11" s="1"/>
      <c r="Y11" s="1"/>
    </row>
    <row r="12" spans="1:25" ht="12.75" hidden="1">
      <c r="A12" s="583" t="s">
        <v>286</v>
      </c>
      <c r="B12" s="626"/>
      <c r="C12" s="627">
        <f>H25/B25*R9</f>
        <v>0</v>
      </c>
      <c r="D12" s="628">
        <f>H25/I9</f>
        <v>0</v>
      </c>
      <c r="E12" s="629">
        <f>H25/N9</f>
        <v>0</v>
      </c>
      <c r="F12" s="630">
        <f>C12/G5/P9</f>
        <v>0</v>
      </c>
      <c r="G12" s="1"/>
      <c r="H12" s="1"/>
      <c r="I12" s="505">
        <v>1</v>
      </c>
      <c r="J12" s="506">
        <v>1</v>
      </c>
      <c r="K12" s="507">
        <f t="shared" si="0"/>
        <v>1</v>
      </c>
      <c r="M12" s="508">
        <f>K12/B229</f>
        <v>1.460621638436811E-10</v>
      </c>
      <c r="N12" s="505">
        <v>1.1</v>
      </c>
      <c r="O12" s="509">
        <f t="shared" si="1"/>
        <v>0.10000000000000009</v>
      </c>
      <c r="P12" s="510">
        <f t="shared" si="3"/>
        <v>1.0000000000000009</v>
      </c>
      <c r="Q12" s="508">
        <f>M12+M20</f>
        <v>60.81449837415596</v>
      </c>
      <c r="R12" s="508">
        <f>Q12*B229/I12</f>
        <v>416360382276.9664</v>
      </c>
      <c r="S12" s="511">
        <f>T12/R12</f>
        <v>0.9999999999975983</v>
      </c>
      <c r="T12" s="508">
        <f t="shared" si="2"/>
        <v>416360382275.9664</v>
      </c>
      <c r="U12" s="1"/>
      <c r="V12" s="1"/>
      <c r="W12" s="1"/>
      <c r="X12" s="1"/>
      <c r="Y12" s="1"/>
    </row>
    <row r="13" spans="1:25" ht="12.75" hidden="1">
      <c r="A13" s="583" t="s">
        <v>286</v>
      </c>
      <c r="B13" s="626"/>
      <c r="C13" s="627">
        <f>I25/B25*R10</f>
        <v>0</v>
      </c>
      <c r="D13" s="628">
        <f>I25/I10</f>
        <v>0</v>
      </c>
      <c r="E13" s="629">
        <f>I25/N10</f>
        <v>0</v>
      </c>
      <c r="F13" s="630">
        <f>C13/G5/P10</f>
        <v>0</v>
      </c>
      <c r="G13" s="1"/>
      <c r="H13" s="513"/>
      <c r="I13" s="505">
        <v>1</v>
      </c>
      <c r="J13" s="506">
        <v>1</v>
      </c>
      <c r="K13" s="507">
        <f t="shared" si="0"/>
        <v>1</v>
      </c>
      <c r="M13" s="508">
        <f>K13/B229</f>
        <v>1.460621638436811E-10</v>
      </c>
      <c r="N13" s="505">
        <v>1.1</v>
      </c>
      <c r="O13" s="509">
        <f t="shared" si="1"/>
        <v>0.10000000000000009</v>
      </c>
      <c r="P13" s="510">
        <f t="shared" si="3"/>
        <v>1.0000000000000009</v>
      </c>
      <c r="Q13" s="508">
        <f>M13+M20</f>
        <v>60.81449837415596</v>
      </c>
      <c r="R13" s="508">
        <f>Q13*B229/I13</f>
        <v>416360382276.9664</v>
      </c>
      <c r="S13" s="511">
        <f t="shared" si="4"/>
        <v>0.9999999999975983</v>
      </c>
      <c r="T13" s="508">
        <f t="shared" si="2"/>
        <v>416360382275.9664</v>
      </c>
      <c r="U13" s="1"/>
      <c r="V13" s="1"/>
      <c r="W13" s="1"/>
      <c r="X13" s="1"/>
      <c r="Y13" s="1"/>
    </row>
    <row r="14" spans="1:25" ht="12.75" hidden="1">
      <c r="A14" s="583" t="s">
        <v>286</v>
      </c>
      <c r="B14" s="626"/>
      <c r="C14" s="627">
        <f>J25/B25*R11</f>
        <v>0</v>
      </c>
      <c r="D14" s="628">
        <f>J25/I11</f>
        <v>0</v>
      </c>
      <c r="E14" s="629">
        <f>J25/N11</f>
        <v>0</v>
      </c>
      <c r="F14" s="630">
        <f>C14/G5/P11</f>
        <v>0</v>
      </c>
      <c r="G14" s="1"/>
      <c r="H14" s="504"/>
      <c r="I14" s="505">
        <v>1</v>
      </c>
      <c r="J14" s="506">
        <v>1</v>
      </c>
      <c r="K14" s="507">
        <f t="shared" si="0"/>
        <v>1</v>
      </c>
      <c r="M14" s="508">
        <f>K14/B229</f>
        <v>1.460621638436811E-10</v>
      </c>
      <c r="N14" s="505">
        <v>1.1</v>
      </c>
      <c r="O14" s="509">
        <f t="shared" si="1"/>
        <v>0.10000000000000009</v>
      </c>
      <c r="P14" s="510">
        <f t="shared" si="3"/>
        <v>1.0000000000000009</v>
      </c>
      <c r="Q14" s="508">
        <f>M14+M20</f>
        <v>60.81449837415596</v>
      </c>
      <c r="R14" s="508">
        <f>Q14*B229/I14</f>
        <v>416360382276.9664</v>
      </c>
      <c r="S14" s="511">
        <f t="shared" si="4"/>
        <v>0.9999999999975983</v>
      </c>
      <c r="T14" s="508">
        <f t="shared" si="2"/>
        <v>416360382275.9664</v>
      </c>
      <c r="U14" s="1"/>
      <c r="V14" s="1"/>
      <c r="W14" s="1"/>
      <c r="X14" s="1"/>
      <c r="Y14" s="1"/>
    </row>
    <row r="15" spans="1:25" ht="12.75" hidden="1">
      <c r="A15" s="583" t="s">
        <v>286</v>
      </c>
      <c r="B15" s="626"/>
      <c r="C15" s="627">
        <f>K25/B25*R12</f>
        <v>0</v>
      </c>
      <c r="D15" s="628">
        <f>K25/I12</f>
        <v>0</v>
      </c>
      <c r="E15" s="629">
        <f>K25/N12</f>
        <v>0</v>
      </c>
      <c r="F15" s="630">
        <f>C15/G5/P12</f>
        <v>0</v>
      </c>
      <c r="G15" s="18"/>
      <c r="H15" s="504"/>
      <c r="I15" s="505">
        <v>1</v>
      </c>
      <c r="J15" s="506">
        <v>1</v>
      </c>
      <c r="K15" s="507">
        <f t="shared" si="0"/>
        <v>1</v>
      </c>
      <c r="M15" s="508">
        <f>K15/B229</f>
        <v>1.460621638436811E-10</v>
      </c>
      <c r="N15" s="505">
        <v>1.1</v>
      </c>
      <c r="O15" s="509">
        <f t="shared" si="1"/>
        <v>0.10000000000000009</v>
      </c>
      <c r="P15" s="510">
        <f t="shared" si="3"/>
        <v>1.0000000000000009</v>
      </c>
      <c r="Q15" s="508">
        <f>M15+M20</f>
        <v>60.81449837415596</v>
      </c>
      <c r="R15" s="508">
        <f>Q15*B229/I15</f>
        <v>416360382276.9664</v>
      </c>
      <c r="S15" s="511">
        <f t="shared" si="4"/>
        <v>0.9999999999975983</v>
      </c>
      <c r="T15" s="508">
        <f t="shared" si="2"/>
        <v>416360382275.9664</v>
      </c>
      <c r="U15" s="1"/>
      <c r="V15" s="1"/>
      <c r="W15" s="1"/>
      <c r="X15" s="1"/>
      <c r="Y15" s="1"/>
    </row>
    <row r="16" spans="1:25" ht="12.75" hidden="1">
      <c r="A16" s="583" t="s">
        <v>286</v>
      </c>
      <c r="B16" s="626"/>
      <c r="C16" s="627">
        <f>L25/B25*R13</f>
        <v>0</v>
      </c>
      <c r="D16" s="628">
        <f>L25/I13</f>
        <v>0</v>
      </c>
      <c r="E16" s="629">
        <f>L25/N13</f>
        <v>0</v>
      </c>
      <c r="F16" s="630">
        <f>C16/G5/P13</f>
        <v>0</v>
      </c>
      <c r="G16" s="1"/>
      <c r="H16" s="490"/>
      <c r="I16" s="514"/>
      <c r="J16" s="515"/>
      <c r="K16" s="491"/>
      <c r="M16" s="492"/>
      <c r="N16" s="514"/>
      <c r="O16" s="493"/>
      <c r="P16" s="516"/>
      <c r="Q16" s="517"/>
      <c r="R16" s="517"/>
      <c r="S16" s="518"/>
      <c r="T16" s="517"/>
      <c r="U16" s="1"/>
      <c r="V16" s="1"/>
      <c r="W16" s="1"/>
      <c r="X16" s="1"/>
      <c r="Y16" s="1"/>
    </row>
    <row r="17" spans="1:25" ht="12.75" hidden="1">
      <c r="A17" s="583" t="s">
        <v>286</v>
      </c>
      <c r="B17" s="626"/>
      <c r="C17" s="627">
        <f>M25/B25*R14</f>
        <v>0</v>
      </c>
      <c r="D17" s="628">
        <f>M25/I14</f>
        <v>0</v>
      </c>
      <c r="E17" s="629">
        <f>M25/N14</f>
        <v>0</v>
      </c>
      <c r="F17" s="630">
        <f>C17/G5/P14</f>
        <v>0</v>
      </c>
      <c r="G17" s="1"/>
      <c r="H17" s="490"/>
      <c r="I17" s="514"/>
      <c r="J17" s="515"/>
      <c r="K17" s="491"/>
      <c r="M17" s="492"/>
      <c r="N17" s="514"/>
      <c r="O17" s="493"/>
      <c r="P17" s="516"/>
      <c r="Q17" s="517"/>
      <c r="R17" s="517"/>
      <c r="S17" s="518"/>
      <c r="T17" s="517"/>
      <c r="U17" s="1"/>
      <c r="V17" s="1"/>
      <c r="W17" s="1"/>
      <c r="X17" s="1"/>
      <c r="Y17" s="1"/>
    </row>
    <row r="18" spans="1:25" ht="12.75">
      <c r="A18" s="512"/>
      <c r="B18" s="626"/>
      <c r="C18" s="627"/>
      <c r="D18" s="628"/>
      <c r="E18" s="629"/>
      <c r="F18" s="630"/>
      <c r="G18" s="1"/>
      <c r="H18" s="1"/>
      <c r="I18" s="1"/>
      <c r="J18" s="1"/>
      <c r="K18" s="1"/>
      <c r="M18" s="519">
        <f>SUM(M4:M17)/3</f>
        <v>60.8144983740099</v>
      </c>
      <c r="N18" s="1"/>
      <c r="O18" s="1"/>
      <c r="P18" s="1"/>
      <c r="Q18" s="1"/>
      <c r="R18" s="1"/>
      <c r="S18" s="1"/>
      <c r="T18" s="1"/>
      <c r="U18" s="1"/>
      <c r="V18" s="1"/>
      <c r="W18" s="1"/>
      <c r="X18" s="1"/>
      <c r="Y18" s="1"/>
    </row>
    <row r="19" spans="1:25" ht="12.75">
      <c r="A19" s="520"/>
      <c r="B19" s="626"/>
      <c r="C19" s="631"/>
      <c r="D19" s="632"/>
      <c r="E19" s="633"/>
      <c r="F19" s="634"/>
      <c r="G19" s="1"/>
      <c r="H19" s="73"/>
      <c r="I19" s="1"/>
      <c r="J19" s="1"/>
      <c r="K19" s="1"/>
      <c r="M19" s="519">
        <v>60.8144983740099</v>
      </c>
      <c r="N19" s="521"/>
      <c r="O19" s="1"/>
      <c r="P19" s="1"/>
      <c r="Q19" s="1"/>
      <c r="R19" s="1"/>
      <c r="S19" s="1"/>
      <c r="T19" s="1"/>
      <c r="U19" s="1"/>
      <c r="V19" s="1"/>
      <c r="W19" s="1"/>
      <c r="X19" s="1"/>
      <c r="Y19" s="1"/>
    </row>
    <row r="20" spans="1:25" ht="12.75">
      <c r="A20" s="512"/>
      <c r="B20" s="635"/>
      <c r="C20" s="636"/>
      <c r="D20" s="637"/>
      <c r="E20" s="638"/>
      <c r="F20" s="639"/>
      <c r="G20" s="1"/>
      <c r="H20" s="1"/>
      <c r="I20" s="1"/>
      <c r="J20" s="1"/>
      <c r="K20" s="1"/>
      <c r="M20" s="522">
        <f>M19*G8</f>
        <v>60.8144983740099</v>
      </c>
      <c r="N20" s="1"/>
      <c r="O20" s="1"/>
      <c r="P20" s="1"/>
      <c r="Q20" s="1"/>
      <c r="R20" s="1"/>
      <c r="S20" s="523"/>
      <c r="T20" s="1"/>
      <c r="U20" s="1"/>
      <c r="V20" s="1"/>
      <c r="W20" s="1"/>
      <c r="X20" s="1"/>
      <c r="Y20" s="1"/>
    </row>
    <row r="21" spans="1:25" ht="12.75">
      <c r="A21" s="512"/>
      <c r="B21" s="635"/>
      <c r="C21" s="636"/>
      <c r="D21" s="637"/>
      <c r="E21" s="638"/>
      <c r="F21" s="639"/>
      <c r="G21" s="1"/>
      <c r="H21" s="1"/>
      <c r="I21" s="1"/>
      <c r="J21" s="1"/>
      <c r="K21" s="1"/>
      <c r="M21" s="1"/>
      <c r="N21" s="524"/>
      <c r="O21" s="1"/>
      <c r="P21" s="1"/>
      <c r="Q21" s="1"/>
      <c r="R21" s="1"/>
      <c r="S21" s="1"/>
      <c r="T21" s="1"/>
      <c r="U21" s="1"/>
      <c r="V21" s="1"/>
      <c r="W21" s="2"/>
      <c r="X21" s="1"/>
      <c r="Y21" s="1"/>
    </row>
    <row r="22" spans="1:25" ht="12.75">
      <c r="A22" s="1"/>
      <c r="B22" s="640" t="s">
        <v>379</v>
      </c>
      <c r="C22" s="641"/>
      <c r="D22" s="642"/>
      <c r="E22" s="624"/>
      <c r="F22" s="643">
        <f>SUM(F7:F21)</f>
        <v>0.0008198605995248118</v>
      </c>
      <c r="G22" s="525" t="s">
        <v>380</v>
      </c>
      <c r="H22" s="1"/>
      <c r="I22" s="1"/>
      <c r="J22" s="1"/>
      <c r="K22" s="1"/>
      <c r="M22" s="1"/>
      <c r="N22" s="526"/>
      <c r="O22" s="1"/>
      <c r="P22" s="1"/>
      <c r="Q22" s="1"/>
      <c r="R22" s="1"/>
      <c r="S22" s="1"/>
      <c r="T22" s="1"/>
      <c r="U22" s="1"/>
      <c r="V22" s="1"/>
      <c r="W22" s="1"/>
      <c r="X22" s="1"/>
      <c r="Y22" s="1"/>
    </row>
    <row r="23" spans="1:24" ht="12.75">
      <c r="A23" s="1"/>
      <c r="B23" s="1"/>
      <c r="C23" s="1"/>
      <c r="D23" s="1"/>
      <c r="E23" s="1"/>
      <c r="F23" s="1"/>
      <c r="G23" s="1"/>
      <c r="H23" s="1"/>
      <c r="I23" s="1"/>
      <c r="J23" s="1"/>
      <c r="K23" s="1"/>
      <c r="L23" s="1"/>
      <c r="M23" s="1"/>
      <c r="N23" s="1"/>
      <c r="O23" s="1"/>
      <c r="P23" s="1"/>
      <c r="Q23" s="1"/>
      <c r="R23" s="1"/>
      <c r="S23" s="65"/>
      <c r="T23" s="527"/>
      <c r="U23" s="1"/>
      <c r="V23" s="520"/>
      <c r="W23" s="1"/>
      <c r="X23" s="512"/>
    </row>
    <row r="24" spans="1:24" ht="12.75">
      <c r="A24" s="292" t="s">
        <v>381</v>
      </c>
      <c r="B24" s="289" t="s">
        <v>257</v>
      </c>
      <c r="C24" s="289" t="s">
        <v>375</v>
      </c>
      <c r="D24" s="289" t="s">
        <v>377</v>
      </c>
      <c r="E24" s="289" t="s">
        <v>378</v>
      </c>
      <c r="F24" s="289"/>
      <c r="G24" s="289"/>
      <c r="H24" s="289"/>
      <c r="I24" s="289"/>
      <c r="J24" s="289"/>
      <c r="K24" s="289"/>
      <c r="L24" s="289"/>
      <c r="M24" s="289"/>
      <c r="N24" s="289"/>
      <c r="O24" s="289"/>
      <c r="P24" s="289"/>
      <c r="Q24" s="1"/>
      <c r="R24" s="1"/>
      <c r="S24" s="1"/>
      <c r="T24" s="80"/>
      <c r="U24" s="80"/>
      <c r="V24" s="528"/>
      <c r="W24" s="1"/>
      <c r="X24" s="512"/>
    </row>
    <row r="25" spans="1:24" ht="12.75">
      <c r="A25" s="291" t="s">
        <v>35</v>
      </c>
      <c r="B25" s="298">
        <v>2992000</v>
      </c>
      <c r="C25" s="298">
        <v>0</v>
      </c>
      <c r="D25" s="298">
        <v>10594500</v>
      </c>
      <c r="E25" s="298">
        <v>390.21822</v>
      </c>
      <c r="F25" s="342"/>
      <c r="G25" s="342"/>
      <c r="H25" s="342"/>
      <c r="I25" s="342"/>
      <c r="J25" s="342"/>
      <c r="K25" s="342"/>
      <c r="L25" s="342"/>
      <c r="M25" s="342"/>
      <c r="N25" s="342"/>
      <c r="O25" s="342"/>
      <c r="P25" s="342"/>
      <c r="Q25" s="1"/>
      <c r="R25" s="1"/>
      <c r="S25" s="1"/>
      <c r="T25" s="80"/>
      <c r="U25" s="1"/>
      <c r="V25" s="528"/>
      <c r="W25" s="1"/>
      <c r="X25" s="512"/>
    </row>
    <row r="26" spans="1:24" ht="12.75">
      <c r="A26" s="1"/>
      <c r="B26" s="1"/>
      <c r="C26" s="1"/>
      <c r="D26" s="1"/>
      <c r="E26" s="1"/>
      <c r="F26" s="1"/>
      <c r="G26" s="1"/>
      <c r="H26" s="1"/>
      <c r="I26" s="1"/>
      <c r="J26" s="1"/>
      <c r="K26" s="1"/>
      <c r="L26" s="1"/>
      <c r="M26" s="1"/>
      <c r="N26" s="1"/>
      <c r="O26" s="1"/>
      <c r="P26" s="1"/>
      <c r="Q26" s="1"/>
      <c r="R26" s="1"/>
      <c r="S26" s="1"/>
      <c r="T26" s="1"/>
      <c r="U26" s="1"/>
      <c r="V26" s="528"/>
      <c r="W26" s="1"/>
      <c r="X26" s="512"/>
    </row>
    <row r="27" spans="1:24" ht="12.75">
      <c r="A27" s="1"/>
      <c r="B27" s="1"/>
      <c r="C27" s="485" t="s">
        <v>382</v>
      </c>
      <c r="D27" s="485" t="s">
        <v>383</v>
      </c>
      <c r="E27" s="485" t="s">
        <v>384</v>
      </c>
      <c r="F27" s="485"/>
      <c r="G27" s="485"/>
      <c r="H27" s="1"/>
      <c r="I27" s="485"/>
      <c r="J27" s="1"/>
      <c r="K27" s="1"/>
      <c r="L27" s="485"/>
      <c r="M27" s="485"/>
      <c r="N27" s="485"/>
      <c r="O27" s="485"/>
      <c r="P27" s="485"/>
      <c r="Q27" s="1"/>
      <c r="R27" s="1"/>
      <c r="S27" s="1"/>
      <c r="T27" s="80"/>
      <c r="U27" s="1"/>
      <c r="V27" s="528"/>
      <c r="W27" s="1"/>
      <c r="X27" s="512"/>
    </row>
    <row r="28" spans="1:24" ht="12.75">
      <c r="A28" s="340" t="s">
        <v>290</v>
      </c>
      <c r="B28" s="289" t="s">
        <v>257</v>
      </c>
      <c r="C28" s="289" t="s">
        <v>375</v>
      </c>
      <c r="D28" s="289" t="s">
        <v>377</v>
      </c>
      <c r="E28" s="289" t="s">
        <v>378</v>
      </c>
      <c r="F28" s="289"/>
      <c r="G28" s="289"/>
      <c r="H28" s="289"/>
      <c r="I28" s="289"/>
      <c r="J28" s="289"/>
      <c r="K28" s="289"/>
      <c r="L28" s="289"/>
      <c r="M28" s="289"/>
      <c r="N28" s="289"/>
      <c r="O28" s="289"/>
      <c r="P28" s="289"/>
      <c r="Q28" s="1"/>
      <c r="R28" s="1"/>
      <c r="S28" s="1"/>
      <c r="T28" s="80"/>
      <c r="U28" s="1"/>
      <c r="V28" s="528"/>
      <c r="W28" s="1"/>
      <c r="X28" s="512"/>
    </row>
    <row r="29" spans="1:24" ht="12.75">
      <c r="A29" s="292" t="s">
        <v>240</v>
      </c>
      <c r="B29" s="289">
        <v>2007</v>
      </c>
      <c r="C29" s="289" t="s">
        <v>394</v>
      </c>
      <c r="D29" s="289" t="s">
        <v>394</v>
      </c>
      <c r="E29" s="289" t="s">
        <v>394</v>
      </c>
      <c r="F29" s="289" t="s">
        <v>394</v>
      </c>
      <c r="G29" s="289" t="s">
        <v>394</v>
      </c>
      <c r="H29" s="289" t="s">
        <v>394</v>
      </c>
      <c r="I29" s="289" t="s">
        <v>394</v>
      </c>
      <c r="J29" s="289" t="s">
        <v>394</v>
      </c>
      <c r="K29" s="289" t="s">
        <v>394</v>
      </c>
      <c r="L29" s="289" t="s">
        <v>394</v>
      </c>
      <c r="M29" s="289" t="s">
        <v>394</v>
      </c>
      <c r="N29" s="289" t="s">
        <v>394</v>
      </c>
      <c r="O29" s="289" t="s">
        <v>394</v>
      </c>
      <c r="P29" s="289" t="s">
        <v>394</v>
      </c>
      <c r="Q29" s="1"/>
      <c r="R29" s="1"/>
      <c r="S29" s="1"/>
      <c r="T29" s="80"/>
      <c r="U29" s="1"/>
      <c r="V29" s="528"/>
      <c r="W29" s="1"/>
      <c r="X29" s="512"/>
    </row>
    <row r="30" spans="1:24" ht="12.75">
      <c r="A30" s="291" t="s">
        <v>187</v>
      </c>
      <c r="B30" s="298">
        <v>26912000</v>
      </c>
      <c r="C30" s="298">
        <v>0</v>
      </c>
      <c r="D30" s="298">
        <v>13772850.000000004</v>
      </c>
      <c r="E30" s="298">
        <v>253.32218000000003</v>
      </c>
      <c r="F30" s="342"/>
      <c r="G30" s="342"/>
      <c r="H30" s="342"/>
      <c r="I30" s="342"/>
      <c r="J30" s="342"/>
      <c r="K30" s="342"/>
      <c r="L30" s="342"/>
      <c r="M30" s="342"/>
      <c r="N30" s="342"/>
      <c r="O30" s="342"/>
      <c r="P30" s="342"/>
      <c r="Q30" s="1"/>
      <c r="R30" s="1"/>
      <c r="S30" s="1"/>
      <c r="T30" s="1"/>
      <c r="U30" s="1"/>
      <c r="V30" s="528"/>
      <c r="W30" s="1"/>
      <c r="X30" s="512"/>
    </row>
    <row r="31" spans="1:24" ht="12.75">
      <c r="A31" s="291" t="s">
        <v>35</v>
      </c>
      <c r="B31" s="298">
        <v>2992000</v>
      </c>
      <c r="C31" s="298">
        <v>0</v>
      </c>
      <c r="D31" s="298">
        <v>10594500</v>
      </c>
      <c r="E31" s="298">
        <v>390.21822</v>
      </c>
      <c r="F31" s="342"/>
      <c r="G31" s="342"/>
      <c r="H31" s="342"/>
      <c r="I31" s="342"/>
      <c r="J31" s="342"/>
      <c r="K31" s="342"/>
      <c r="L31" s="342"/>
      <c r="M31" s="342"/>
      <c r="N31" s="342"/>
      <c r="O31" s="342"/>
      <c r="P31" s="342"/>
      <c r="Q31" s="1"/>
      <c r="R31" s="1"/>
      <c r="S31" s="1"/>
      <c r="T31" s="1"/>
      <c r="U31" s="1"/>
      <c r="V31" s="528"/>
      <c r="W31" s="1"/>
      <c r="X31" s="512"/>
    </row>
    <row r="32" spans="1:24" ht="12.75">
      <c r="A32" s="291" t="s">
        <v>51</v>
      </c>
      <c r="B32" s="298">
        <v>33363000</v>
      </c>
      <c r="C32" s="298">
        <v>3881045000</v>
      </c>
      <c r="D32" s="298">
        <v>35591869600</v>
      </c>
      <c r="E32" s="353">
        <v>0</v>
      </c>
      <c r="F32" s="342"/>
      <c r="G32" s="342"/>
      <c r="H32" s="342"/>
      <c r="I32" s="342"/>
      <c r="J32" s="342"/>
      <c r="K32" s="342"/>
      <c r="L32" s="342"/>
      <c r="M32" s="342"/>
      <c r="N32" s="342"/>
      <c r="O32" s="342"/>
      <c r="P32" s="342"/>
      <c r="Q32" s="1"/>
      <c r="R32" s="1"/>
      <c r="S32" s="1"/>
      <c r="T32" s="1"/>
      <c r="U32" s="1"/>
      <c r="V32" s="528"/>
      <c r="W32" s="1"/>
      <c r="X32" s="512"/>
    </row>
    <row r="33" spans="1:24" ht="12.75">
      <c r="A33" s="291" t="s">
        <v>152</v>
      </c>
      <c r="B33" s="293">
        <v>12264000</v>
      </c>
      <c r="C33" s="298">
        <v>2106415000</v>
      </c>
      <c r="D33" s="298">
        <v>1620958500</v>
      </c>
      <c r="E33" s="353">
        <v>0</v>
      </c>
      <c r="F33" s="342"/>
      <c r="G33" s="342"/>
      <c r="H33" s="342"/>
      <c r="I33" s="342"/>
      <c r="J33" s="342"/>
      <c r="K33" s="342"/>
      <c r="L33" s="342"/>
      <c r="M33" s="342"/>
      <c r="N33" s="342"/>
      <c r="O33" s="342"/>
      <c r="P33" s="342"/>
      <c r="Q33" s="1"/>
      <c r="R33" s="1"/>
      <c r="S33" s="1"/>
      <c r="T33" s="1"/>
      <c r="U33" s="1"/>
      <c r="V33" s="529"/>
      <c r="W33" s="1"/>
      <c r="X33" s="1"/>
    </row>
    <row r="34" spans="1:24" ht="12.75">
      <c r="A34" s="291" t="s">
        <v>39</v>
      </c>
      <c r="B34" s="293">
        <v>83000</v>
      </c>
      <c r="C34" s="298">
        <v>0</v>
      </c>
      <c r="D34" s="298">
        <v>0</v>
      </c>
      <c r="E34" s="353">
        <v>0</v>
      </c>
      <c r="F34" s="342"/>
      <c r="G34" s="342"/>
      <c r="H34" s="342"/>
      <c r="I34" s="342"/>
      <c r="J34" s="342"/>
      <c r="K34" s="342"/>
      <c r="L34" s="342"/>
      <c r="M34" s="342"/>
      <c r="N34" s="342"/>
      <c r="O34" s="342"/>
      <c r="P34" s="342"/>
      <c r="Q34" s="1"/>
      <c r="R34" s="1"/>
      <c r="S34" s="1"/>
      <c r="T34" s="1"/>
      <c r="U34" s="1"/>
      <c r="V34" s="528"/>
      <c r="W34" s="1"/>
      <c r="X34" s="1"/>
    </row>
    <row r="35" spans="1:24" ht="12.75">
      <c r="A35" s="291" t="s">
        <v>75</v>
      </c>
      <c r="B35" s="293">
        <v>40049000</v>
      </c>
      <c r="C35" s="298">
        <v>1734480000</v>
      </c>
      <c r="D35" s="298">
        <v>10275958700.000002</v>
      </c>
      <c r="E35" s="298">
        <v>779.74198</v>
      </c>
      <c r="F35" s="342"/>
      <c r="G35" s="342"/>
      <c r="H35" s="342"/>
      <c r="I35" s="342"/>
      <c r="J35" s="342"/>
      <c r="K35" s="342"/>
      <c r="L35" s="342"/>
      <c r="M35" s="342"/>
      <c r="N35" s="342"/>
      <c r="O35" s="342"/>
      <c r="P35" s="342"/>
      <c r="Q35" s="1"/>
      <c r="R35" s="1"/>
      <c r="S35" s="1"/>
      <c r="T35" s="1"/>
      <c r="U35" s="1"/>
      <c r="V35" s="528"/>
      <c r="W35" s="1"/>
      <c r="X35" s="1"/>
    </row>
    <row r="36" spans="1:24" ht="12.75">
      <c r="A36" s="291" t="s">
        <v>80</v>
      </c>
      <c r="B36" s="293">
        <v>2972000</v>
      </c>
      <c r="C36" s="298">
        <v>0</v>
      </c>
      <c r="D36" s="298">
        <v>0</v>
      </c>
      <c r="E36" s="353">
        <v>0</v>
      </c>
      <c r="F36" s="342"/>
      <c r="G36" s="342"/>
      <c r="H36" s="342"/>
      <c r="I36" s="342"/>
      <c r="J36" s="342"/>
      <c r="K36" s="342"/>
      <c r="L36" s="342"/>
      <c r="M36" s="342"/>
      <c r="N36" s="342"/>
      <c r="O36" s="342"/>
      <c r="P36" s="342"/>
      <c r="Q36" s="1"/>
      <c r="R36" s="1"/>
      <c r="S36" s="1"/>
      <c r="T36" s="1"/>
      <c r="U36" s="1"/>
      <c r="V36" s="1"/>
      <c r="W36" s="1"/>
      <c r="X36" s="1"/>
    </row>
    <row r="37" spans="1:24" ht="12.75">
      <c r="A37" s="291" t="s">
        <v>160</v>
      </c>
      <c r="B37" s="293">
        <v>100000</v>
      </c>
      <c r="C37" s="298">
        <v>0</v>
      </c>
      <c r="D37" s="298">
        <v>0</v>
      </c>
      <c r="E37" s="353">
        <v>0</v>
      </c>
      <c r="F37" s="342"/>
      <c r="G37" s="342"/>
      <c r="H37" s="342"/>
      <c r="I37" s="342"/>
      <c r="J37" s="342"/>
      <c r="K37" s="342"/>
      <c r="L37" s="342"/>
      <c r="M37" s="342"/>
      <c r="N37" s="342"/>
      <c r="O37" s="342"/>
      <c r="P37" s="342"/>
      <c r="Q37" s="1"/>
      <c r="R37" s="1"/>
      <c r="S37" s="1"/>
      <c r="T37" s="1"/>
      <c r="U37" s="1"/>
      <c r="V37" s="1"/>
      <c r="W37" s="1"/>
      <c r="X37" s="1"/>
    </row>
    <row r="38" spans="1:24" ht="12.75">
      <c r="A38" s="291" t="s">
        <v>59</v>
      </c>
      <c r="B38" s="293">
        <v>20750000</v>
      </c>
      <c r="C38" s="298">
        <v>1481170000</v>
      </c>
      <c r="D38" s="298">
        <v>7651736380</v>
      </c>
      <c r="E38" s="298">
        <v>2245407.13705</v>
      </c>
      <c r="F38" s="342"/>
      <c r="G38" s="342"/>
      <c r="H38" s="342"/>
      <c r="I38" s="342"/>
      <c r="J38" s="342"/>
      <c r="K38" s="342"/>
      <c r="L38" s="342"/>
      <c r="M38" s="342"/>
      <c r="N38" s="342"/>
      <c r="O38" s="342"/>
      <c r="P38" s="342"/>
      <c r="Q38" s="1"/>
      <c r="R38" s="1"/>
      <c r="S38" s="1"/>
      <c r="T38" s="1"/>
      <c r="U38" s="1"/>
      <c r="V38" s="1"/>
      <c r="W38" s="1"/>
      <c r="X38" s="1"/>
    </row>
    <row r="39" spans="1:24" ht="12.75">
      <c r="A39" s="291" t="s">
        <v>23</v>
      </c>
      <c r="B39" s="293">
        <v>8200000</v>
      </c>
      <c r="C39" s="298">
        <v>0</v>
      </c>
      <c r="D39" s="298">
        <v>392279040</v>
      </c>
      <c r="E39" s="298">
        <v>5791.54389</v>
      </c>
      <c r="F39" s="342"/>
      <c r="G39" s="342"/>
      <c r="H39" s="342"/>
      <c r="I39" s="342"/>
      <c r="J39" s="342"/>
      <c r="K39" s="342"/>
      <c r="L39" s="342"/>
      <c r="M39" s="342"/>
      <c r="N39" s="342"/>
      <c r="O39" s="342"/>
      <c r="P39" s="342"/>
      <c r="Q39" s="1"/>
      <c r="R39" s="1"/>
      <c r="S39" s="1"/>
      <c r="T39" s="1"/>
      <c r="U39" s="1"/>
      <c r="V39" s="1"/>
      <c r="W39" s="1"/>
      <c r="X39" s="1"/>
    </row>
    <row r="40" spans="1:24" ht="12.75">
      <c r="A40" s="291" t="s">
        <v>87</v>
      </c>
      <c r="B40" s="293">
        <v>8120000</v>
      </c>
      <c r="C40" s="298">
        <v>720510000</v>
      </c>
      <c r="D40" s="298">
        <v>1434142150</v>
      </c>
      <c r="E40" s="353">
        <v>0</v>
      </c>
      <c r="F40" s="342"/>
      <c r="G40" s="342"/>
      <c r="H40" s="342"/>
      <c r="I40" s="342"/>
      <c r="J40" s="342"/>
      <c r="K40" s="342"/>
      <c r="L40" s="342"/>
      <c r="M40" s="342"/>
      <c r="N40" s="342"/>
      <c r="O40" s="342"/>
      <c r="P40" s="342"/>
      <c r="Q40" s="1"/>
      <c r="R40" s="1"/>
      <c r="S40" s="1"/>
      <c r="T40" s="1"/>
      <c r="U40" s="1"/>
      <c r="V40" s="1"/>
      <c r="W40" s="1"/>
      <c r="X40" s="1"/>
    </row>
    <row r="41" spans="1:24" ht="12.75">
      <c r="A41" s="291" t="s">
        <v>167</v>
      </c>
      <c r="B41" s="293">
        <v>302000</v>
      </c>
      <c r="C41" s="298">
        <v>0</v>
      </c>
      <c r="D41" s="298">
        <v>0</v>
      </c>
      <c r="E41" s="353">
        <v>0</v>
      </c>
      <c r="F41" s="342"/>
      <c r="G41" s="342"/>
      <c r="H41" s="342"/>
      <c r="I41" s="342"/>
      <c r="J41" s="342"/>
      <c r="K41" s="342"/>
      <c r="L41" s="342"/>
      <c r="M41" s="342"/>
      <c r="N41" s="342"/>
      <c r="O41" s="342"/>
      <c r="P41" s="342"/>
      <c r="Q41" s="1"/>
      <c r="R41" s="1"/>
      <c r="S41" s="1"/>
      <c r="T41" s="1"/>
      <c r="U41" s="1"/>
      <c r="V41" s="1"/>
      <c r="W41" s="1"/>
      <c r="X41" s="1"/>
    </row>
    <row r="42" spans="1:24" ht="12.75">
      <c r="A42" s="291" t="s">
        <v>0</v>
      </c>
      <c r="B42" s="293">
        <v>709000</v>
      </c>
      <c r="C42" s="298">
        <v>103499034.99999999</v>
      </c>
      <c r="D42" s="298">
        <v>2616841499.9999995</v>
      </c>
      <c r="E42" s="353">
        <v>0</v>
      </c>
      <c r="F42" s="342"/>
      <c r="G42" s="342"/>
      <c r="H42" s="342"/>
      <c r="I42" s="342"/>
      <c r="J42" s="342"/>
      <c r="K42" s="342"/>
      <c r="L42" s="342"/>
      <c r="M42" s="342"/>
      <c r="N42" s="342"/>
      <c r="O42" s="342"/>
      <c r="P42" s="342"/>
      <c r="Q42" s="1"/>
      <c r="R42" s="1"/>
      <c r="S42" s="1"/>
      <c r="T42" s="1"/>
      <c r="U42" s="1"/>
      <c r="V42" s="1"/>
      <c r="W42" s="1"/>
      <c r="X42" s="1"/>
    </row>
    <row r="43" spans="1:24" ht="12.75">
      <c r="A43" s="291" t="s">
        <v>133</v>
      </c>
      <c r="B43" s="293">
        <v>148894000</v>
      </c>
      <c r="C43" s="298">
        <v>0</v>
      </c>
      <c r="D43" s="298">
        <v>2484410250</v>
      </c>
      <c r="E43" s="298">
        <v>84.87797</v>
      </c>
      <c r="F43" s="342"/>
      <c r="G43" s="342"/>
      <c r="H43" s="342"/>
      <c r="I43" s="342"/>
      <c r="J43" s="342"/>
      <c r="K43" s="342"/>
      <c r="L43" s="342"/>
      <c r="M43" s="342"/>
      <c r="N43" s="342"/>
      <c r="O43" s="342"/>
      <c r="P43" s="342"/>
      <c r="Q43" s="1"/>
      <c r="R43" s="1"/>
      <c r="S43" s="1"/>
      <c r="T43" s="1"/>
      <c r="U43" s="1"/>
      <c r="V43" s="1"/>
      <c r="W43" s="1"/>
      <c r="X43" s="1"/>
    </row>
    <row r="44" spans="1:24" ht="12.75">
      <c r="A44" s="291" t="s">
        <v>170</v>
      </c>
      <c r="B44" s="293">
        <v>282000</v>
      </c>
      <c r="C44" s="298">
        <v>0</v>
      </c>
      <c r="D44" s="298">
        <v>6180000.000000001</v>
      </c>
      <c r="E44" s="353">
        <v>0</v>
      </c>
      <c r="F44" s="342"/>
      <c r="G44" s="342"/>
      <c r="H44" s="342"/>
      <c r="I44" s="342"/>
      <c r="J44" s="342"/>
      <c r="K44" s="342"/>
      <c r="L44" s="342"/>
      <c r="M44" s="342"/>
      <c r="N44" s="342"/>
      <c r="O44" s="342"/>
      <c r="P44" s="342"/>
      <c r="Q44" s="1"/>
      <c r="R44" s="1"/>
      <c r="S44" s="1"/>
      <c r="T44" s="1"/>
      <c r="U44" s="1"/>
      <c r="V44" s="1"/>
      <c r="W44" s="1"/>
      <c r="X44" s="1"/>
    </row>
    <row r="45" spans="1:24" ht="12.75">
      <c r="A45" s="291" t="s">
        <v>61</v>
      </c>
      <c r="B45" s="293">
        <v>9725000</v>
      </c>
      <c r="C45" s="298">
        <v>0</v>
      </c>
      <c r="D45" s="298">
        <v>38952450</v>
      </c>
      <c r="E45" s="353">
        <v>0</v>
      </c>
      <c r="F45" s="342"/>
      <c r="G45" s="342"/>
      <c r="H45" s="342"/>
      <c r="I45" s="342"/>
      <c r="J45" s="342"/>
      <c r="K45" s="342"/>
      <c r="L45" s="342"/>
      <c r="M45" s="342"/>
      <c r="N45" s="342"/>
      <c r="O45" s="342"/>
      <c r="P45" s="342"/>
      <c r="Q45" s="1"/>
      <c r="R45" s="1"/>
      <c r="S45" s="1"/>
      <c r="T45" s="1"/>
      <c r="U45" s="1"/>
      <c r="V45" s="1"/>
      <c r="W45" s="1"/>
      <c r="X45" s="1"/>
    </row>
    <row r="46" spans="1:24" ht="12.75">
      <c r="A46" s="291" t="s">
        <v>89</v>
      </c>
      <c r="B46" s="293">
        <v>10392000</v>
      </c>
      <c r="C46" s="298">
        <v>0</v>
      </c>
      <c r="D46" s="298">
        <v>0</v>
      </c>
      <c r="E46" s="298">
        <v>1306.23898</v>
      </c>
      <c r="F46" s="342"/>
      <c r="G46" s="342"/>
      <c r="H46" s="342"/>
      <c r="I46" s="342"/>
      <c r="J46" s="342"/>
      <c r="K46" s="342"/>
      <c r="L46" s="342"/>
      <c r="M46" s="342"/>
      <c r="N46" s="342"/>
      <c r="O46" s="342"/>
      <c r="P46" s="342"/>
      <c r="Q46" s="1"/>
      <c r="R46" s="1"/>
      <c r="S46" s="1"/>
      <c r="T46" s="1"/>
      <c r="U46" s="1"/>
      <c r="V46" s="1"/>
      <c r="W46" s="1"/>
      <c r="X46" s="1"/>
    </row>
    <row r="47" spans="1:24" ht="12.75">
      <c r="A47" s="291" t="s">
        <v>38</v>
      </c>
      <c r="B47" s="293">
        <v>295000</v>
      </c>
      <c r="C47" s="298">
        <v>0</v>
      </c>
      <c r="D47" s="298">
        <v>0</v>
      </c>
      <c r="E47" s="353">
        <v>0</v>
      </c>
      <c r="F47" s="342"/>
      <c r="G47" s="342"/>
      <c r="H47" s="342"/>
      <c r="I47" s="342"/>
      <c r="J47" s="342"/>
      <c r="K47" s="342"/>
      <c r="L47" s="342"/>
      <c r="M47" s="342"/>
      <c r="N47" s="342"/>
      <c r="O47" s="342"/>
      <c r="P47" s="342"/>
      <c r="Q47" s="1"/>
      <c r="R47" s="1"/>
      <c r="S47" s="1"/>
      <c r="T47" s="1"/>
      <c r="U47" s="1"/>
      <c r="V47" s="1"/>
      <c r="W47" s="1"/>
      <c r="X47" s="1"/>
    </row>
    <row r="48" spans="1:24" ht="12.75">
      <c r="A48" s="291" t="s">
        <v>147</v>
      </c>
      <c r="B48" s="293">
        <v>8278000</v>
      </c>
      <c r="C48" s="298">
        <v>0</v>
      </c>
      <c r="D48" s="298">
        <v>0</v>
      </c>
      <c r="E48" s="353">
        <v>0</v>
      </c>
      <c r="F48" s="342"/>
      <c r="G48" s="342"/>
      <c r="H48" s="342"/>
      <c r="I48" s="342"/>
      <c r="J48" s="342"/>
      <c r="K48" s="342"/>
      <c r="L48" s="342"/>
      <c r="M48" s="342"/>
      <c r="N48" s="342"/>
      <c r="O48" s="342"/>
      <c r="P48" s="342"/>
      <c r="Q48" s="1"/>
      <c r="R48" s="1"/>
      <c r="S48" s="1"/>
      <c r="T48" s="1"/>
      <c r="U48" s="1"/>
      <c r="V48" s="1"/>
      <c r="W48" s="1"/>
      <c r="X48" s="1"/>
    </row>
    <row r="49" spans="1:24" ht="12.75">
      <c r="A49" s="291" t="s">
        <v>165</v>
      </c>
      <c r="B49" s="293">
        <v>67000</v>
      </c>
      <c r="C49" s="298">
        <v>0</v>
      </c>
      <c r="D49" s="298">
        <v>0</v>
      </c>
      <c r="E49" s="353">
        <v>0</v>
      </c>
      <c r="F49" s="342"/>
      <c r="G49" s="342"/>
      <c r="H49" s="342"/>
      <c r="I49" s="342"/>
      <c r="J49" s="342"/>
      <c r="K49" s="342"/>
      <c r="L49" s="342"/>
      <c r="M49" s="342"/>
      <c r="N49" s="342"/>
      <c r="O49" s="342"/>
      <c r="P49" s="342"/>
      <c r="Q49" s="1"/>
      <c r="R49" s="1"/>
      <c r="S49" s="1"/>
      <c r="T49" s="1"/>
      <c r="U49" s="1"/>
      <c r="V49" s="1"/>
      <c r="W49" s="1"/>
      <c r="X49" s="1"/>
    </row>
    <row r="50" spans="1:24" ht="12.75">
      <c r="A50" s="291" t="s">
        <v>50</v>
      </c>
      <c r="B50" s="293">
        <v>673000</v>
      </c>
      <c r="C50" s="298">
        <v>0</v>
      </c>
      <c r="D50" s="298">
        <v>0</v>
      </c>
      <c r="E50" s="298">
        <v>413.36676</v>
      </c>
      <c r="F50" s="342"/>
      <c r="G50" s="342"/>
      <c r="H50" s="342"/>
      <c r="I50" s="342"/>
      <c r="J50" s="342"/>
      <c r="K50" s="342"/>
      <c r="L50" s="342"/>
      <c r="M50" s="342"/>
      <c r="N50" s="342"/>
      <c r="O50" s="342"/>
      <c r="P50" s="342"/>
      <c r="Q50" s="1"/>
      <c r="R50" s="1"/>
      <c r="S50" s="1"/>
      <c r="T50" s="1"/>
      <c r="U50" s="1"/>
      <c r="V50" s="1"/>
      <c r="W50" s="1"/>
      <c r="X50" s="1"/>
    </row>
    <row r="51" spans="1:24" ht="12.75">
      <c r="A51" s="291" t="s">
        <v>131</v>
      </c>
      <c r="B51" s="293">
        <v>9426000</v>
      </c>
      <c r="C51" s="298">
        <v>0</v>
      </c>
      <c r="D51" s="298">
        <v>2090294850.0000002</v>
      </c>
      <c r="E51" s="353">
        <v>0</v>
      </c>
      <c r="F51" s="342"/>
      <c r="G51" s="342"/>
      <c r="H51" s="342"/>
      <c r="I51" s="342"/>
      <c r="J51" s="342"/>
      <c r="K51" s="342"/>
      <c r="L51" s="342"/>
      <c r="M51" s="342"/>
      <c r="N51" s="342"/>
      <c r="O51" s="342"/>
      <c r="P51" s="342"/>
      <c r="Q51" s="1"/>
      <c r="R51" s="1"/>
      <c r="S51" s="1"/>
      <c r="T51" s="1"/>
      <c r="U51" s="1"/>
      <c r="V51" s="1"/>
      <c r="W51" s="1"/>
      <c r="X51" s="1"/>
    </row>
    <row r="52" spans="1:24" ht="12.75">
      <c r="A52" s="291" t="s">
        <v>1</v>
      </c>
      <c r="B52" s="293">
        <v>4552000</v>
      </c>
      <c r="C52" s="298">
        <v>0</v>
      </c>
      <c r="D52" s="298">
        <v>0</v>
      </c>
      <c r="E52" s="298">
        <v>54943.60741</v>
      </c>
      <c r="F52" s="342"/>
      <c r="G52" s="342"/>
      <c r="H52" s="342"/>
      <c r="I52" s="342"/>
      <c r="J52" s="342"/>
      <c r="K52" s="342"/>
      <c r="L52" s="342"/>
      <c r="M52" s="342"/>
      <c r="N52" s="342"/>
      <c r="O52" s="342"/>
      <c r="P52" s="342"/>
      <c r="Q52" s="1"/>
      <c r="R52" s="1"/>
      <c r="S52" s="1"/>
      <c r="T52" s="1"/>
      <c r="U52" s="1"/>
      <c r="V52" s="1"/>
      <c r="W52" s="1"/>
      <c r="X52" s="1"/>
    </row>
    <row r="53" spans="1:24" ht="12.75">
      <c r="A53" s="291" t="s">
        <v>142</v>
      </c>
      <c r="B53" s="293">
        <v>1913000</v>
      </c>
      <c r="C53" s="298">
        <v>0</v>
      </c>
      <c r="D53" s="298">
        <v>0</v>
      </c>
      <c r="E53" s="298">
        <v>6118.93036</v>
      </c>
      <c r="F53" s="342"/>
      <c r="G53" s="342"/>
      <c r="H53" s="342"/>
      <c r="I53" s="342"/>
      <c r="J53" s="342"/>
      <c r="K53" s="342"/>
      <c r="L53" s="342"/>
      <c r="M53" s="342"/>
      <c r="N53" s="342"/>
      <c r="O53" s="342"/>
      <c r="P53" s="342"/>
      <c r="Q53" s="1"/>
      <c r="R53" s="1"/>
      <c r="S53" s="1"/>
      <c r="T53" s="1"/>
      <c r="U53" s="1"/>
      <c r="V53" s="1"/>
      <c r="W53" s="1"/>
      <c r="X53" s="1"/>
    </row>
    <row r="54" spans="1:24" ht="12.75">
      <c r="A54" s="291" t="s">
        <v>68</v>
      </c>
      <c r="B54" s="293">
        <v>193919000</v>
      </c>
      <c r="C54" s="298">
        <v>3252880000</v>
      </c>
      <c r="D54" s="298">
        <v>3294183199.9999995</v>
      </c>
      <c r="E54" s="298">
        <v>37276.86325</v>
      </c>
      <c r="F54" s="342"/>
      <c r="G54" s="342"/>
      <c r="H54" s="342"/>
      <c r="I54" s="342"/>
      <c r="J54" s="342"/>
      <c r="K54" s="342"/>
      <c r="L54" s="342"/>
      <c r="M54" s="342"/>
      <c r="N54" s="342"/>
      <c r="O54" s="342"/>
      <c r="P54" s="342"/>
      <c r="Q54" s="1"/>
      <c r="R54" s="1"/>
      <c r="S54" s="1"/>
      <c r="T54" s="1"/>
      <c r="U54" s="1"/>
      <c r="V54" s="1"/>
      <c r="W54" s="1"/>
      <c r="X54" s="1"/>
    </row>
    <row r="55" spans="1:24" ht="12.75">
      <c r="A55" s="291" t="s">
        <v>269</v>
      </c>
      <c r="B55" s="293">
        <v>375000</v>
      </c>
      <c r="C55" s="298">
        <v>451140000</v>
      </c>
      <c r="D55" s="298">
        <v>2726318000</v>
      </c>
      <c r="E55" s="353">
        <v>0</v>
      </c>
      <c r="F55" s="342"/>
      <c r="G55" s="342"/>
      <c r="H55" s="342"/>
      <c r="I55" s="342"/>
      <c r="J55" s="342"/>
      <c r="K55" s="342"/>
      <c r="L55" s="342"/>
      <c r="M55" s="342"/>
      <c r="N55" s="342"/>
      <c r="O55" s="342"/>
      <c r="P55" s="342"/>
      <c r="Q55" s="1"/>
      <c r="R55" s="1"/>
      <c r="S55" s="1"/>
      <c r="T55" s="1"/>
      <c r="U55" s="1"/>
      <c r="V55" s="1"/>
      <c r="W55" s="1"/>
      <c r="X55" s="1"/>
    </row>
    <row r="56" spans="1:24" ht="12.75">
      <c r="A56" s="291" t="s">
        <v>71</v>
      </c>
      <c r="B56" s="293">
        <v>7323000</v>
      </c>
      <c r="C56" s="298">
        <v>0</v>
      </c>
      <c r="D56" s="298">
        <v>2436740</v>
      </c>
      <c r="E56" s="298">
        <v>173744.18903</v>
      </c>
      <c r="F56" s="342"/>
      <c r="G56" s="342"/>
      <c r="H56" s="342"/>
      <c r="I56" s="342"/>
      <c r="J56" s="342"/>
      <c r="K56" s="342"/>
      <c r="L56" s="342"/>
      <c r="M56" s="342"/>
      <c r="N56" s="342"/>
      <c r="O56" s="342"/>
      <c r="P56" s="342"/>
      <c r="Q56" s="1"/>
      <c r="R56" s="1"/>
      <c r="S56" s="1"/>
      <c r="T56" s="1"/>
      <c r="U56" s="1"/>
      <c r="V56" s="1"/>
      <c r="W56" s="1"/>
      <c r="X56" s="1"/>
    </row>
    <row r="57" spans="1:24" ht="12.75">
      <c r="A57" s="291" t="s">
        <v>123</v>
      </c>
      <c r="B57" s="293">
        <v>14797000</v>
      </c>
      <c r="C57" s="298">
        <v>0</v>
      </c>
      <c r="D57" s="298">
        <v>0</v>
      </c>
      <c r="E57" s="353">
        <v>0</v>
      </c>
      <c r="F57" s="342"/>
      <c r="G57" s="342"/>
      <c r="H57" s="342"/>
      <c r="I57" s="342"/>
      <c r="J57" s="342"/>
      <c r="K57" s="342"/>
      <c r="L57" s="342"/>
      <c r="M57" s="342"/>
      <c r="N57" s="342"/>
      <c r="O57" s="342"/>
      <c r="P57" s="342"/>
      <c r="Q57" s="1"/>
      <c r="R57" s="1"/>
      <c r="S57" s="1"/>
      <c r="T57" s="1"/>
      <c r="U57" s="1"/>
      <c r="V57" s="1"/>
      <c r="W57" s="1"/>
      <c r="X57" s="1"/>
    </row>
    <row r="58" spans="1:24" ht="12.75">
      <c r="A58" s="291" t="s">
        <v>134</v>
      </c>
      <c r="B58" s="293">
        <v>8783000</v>
      </c>
      <c r="C58" s="298">
        <v>0</v>
      </c>
      <c r="D58" s="298">
        <v>0</v>
      </c>
      <c r="E58" s="353">
        <v>0</v>
      </c>
      <c r="F58" s="342"/>
      <c r="G58" s="342"/>
      <c r="H58" s="342"/>
      <c r="I58" s="342"/>
      <c r="J58" s="342"/>
      <c r="K58" s="342"/>
      <c r="L58" s="342"/>
      <c r="M58" s="342"/>
      <c r="N58" s="342"/>
      <c r="O58" s="342"/>
      <c r="P58" s="342"/>
      <c r="Q58" s="1"/>
      <c r="R58" s="1"/>
      <c r="S58" s="1"/>
      <c r="T58" s="1"/>
      <c r="U58" s="1"/>
      <c r="V58" s="1"/>
      <c r="W58" s="1"/>
      <c r="X58" s="1"/>
    </row>
    <row r="59" spans="1:24" ht="12.75">
      <c r="A59" s="291" t="s">
        <v>141</v>
      </c>
      <c r="B59" s="293">
        <v>13719000</v>
      </c>
      <c r="C59" s="298">
        <v>0</v>
      </c>
      <c r="D59" s="298">
        <v>0</v>
      </c>
      <c r="E59" s="353">
        <v>0</v>
      </c>
      <c r="F59" s="342"/>
      <c r="G59" s="342"/>
      <c r="H59" s="342"/>
      <c r="I59" s="342"/>
      <c r="J59" s="342"/>
      <c r="K59" s="342"/>
      <c r="L59" s="342"/>
      <c r="M59" s="342"/>
      <c r="N59" s="342"/>
      <c r="O59" s="342"/>
      <c r="P59" s="342"/>
      <c r="Q59" s="1"/>
      <c r="R59" s="1"/>
      <c r="S59" s="1"/>
      <c r="T59" s="1"/>
      <c r="U59" s="1"/>
      <c r="V59" s="1"/>
      <c r="W59" s="1"/>
      <c r="X59" s="1"/>
    </row>
    <row r="60" spans="1:24" ht="12.75">
      <c r="A60" s="291" t="s">
        <v>127</v>
      </c>
      <c r="B60" s="293">
        <v>18060000</v>
      </c>
      <c r="C60" s="298">
        <v>0</v>
      </c>
      <c r="D60" s="298">
        <v>367275999.99999994</v>
      </c>
      <c r="E60" s="298">
        <v>1.10231</v>
      </c>
      <c r="F60" s="342"/>
      <c r="G60" s="342"/>
      <c r="H60" s="342"/>
      <c r="I60" s="342"/>
      <c r="J60" s="342"/>
      <c r="K60" s="342"/>
      <c r="L60" s="342"/>
      <c r="M60" s="342"/>
      <c r="N60" s="342"/>
      <c r="O60" s="342"/>
      <c r="P60" s="342"/>
      <c r="Q60" s="1"/>
      <c r="R60" s="1"/>
      <c r="S60" s="1"/>
      <c r="T60" s="1"/>
      <c r="U60" s="1"/>
      <c r="V60" s="1"/>
      <c r="W60" s="1"/>
      <c r="X60" s="1"/>
    </row>
    <row r="61" spans="1:24" ht="12.75">
      <c r="A61" s="291" t="s">
        <v>2</v>
      </c>
      <c r="B61" s="293">
        <v>32936000</v>
      </c>
      <c r="C61" s="298">
        <v>6345890000</v>
      </c>
      <c r="D61" s="298">
        <v>46333633149.99999</v>
      </c>
      <c r="E61" s="298">
        <v>440397.63898</v>
      </c>
      <c r="F61" s="342"/>
      <c r="G61" s="342"/>
      <c r="H61" s="342"/>
      <c r="I61" s="342"/>
      <c r="J61" s="342"/>
      <c r="K61" s="342"/>
      <c r="L61" s="342"/>
      <c r="M61" s="342"/>
      <c r="N61" s="342"/>
      <c r="O61" s="342"/>
      <c r="P61" s="342"/>
      <c r="Q61" s="1"/>
      <c r="R61" s="1"/>
      <c r="S61" s="1"/>
      <c r="T61" s="1"/>
      <c r="U61" s="1"/>
      <c r="V61" s="1"/>
      <c r="W61" s="1"/>
      <c r="X61" s="1"/>
    </row>
    <row r="62" spans="1:24" ht="12.75">
      <c r="A62" s="291" t="s">
        <v>180</v>
      </c>
      <c r="B62" s="293">
        <v>486000</v>
      </c>
      <c r="C62" s="298">
        <v>0</v>
      </c>
      <c r="D62" s="298">
        <v>0</v>
      </c>
      <c r="E62" s="353">
        <v>0</v>
      </c>
      <c r="F62" s="342"/>
      <c r="G62" s="342"/>
      <c r="H62" s="342"/>
      <c r="I62" s="342"/>
      <c r="J62" s="342"/>
      <c r="K62" s="342"/>
      <c r="L62" s="342"/>
      <c r="M62" s="342"/>
      <c r="N62" s="342"/>
      <c r="O62" s="342"/>
      <c r="P62" s="342"/>
      <c r="Q62" s="1"/>
      <c r="R62" s="1"/>
      <c r="S62" s="1"/>
      <c r="T62" s="1"/>
      <c r="U62" s="1"/>
      <c r="V62" s="1"/>
      <c r="W62" s="1"/>
      <c r="X62" s="1"/>
    </row>
    <row r="63" spans="1:24" ht="12.75">
      <c r="A63" s="291" t="s">
        <v>163</v>
      </c>
      <c r="B63" s="293">
        <v>47000</v>
      </c>
      <c r="C63" s="298">
        <v>0</v>
      </c>
      <c r="D63" s="298">
        <v>0</v>
      </c>
      <c r="E63" s="353">
        <v>0</v>
      </c>
      <c r="F63" s="342"/>
      <c r="G63" s="342"/>
      <c r="H63" s="342"/>
      <c r="I63" s="342"/>
      <c r="J63" s="342"/>
      <c r="K63" s="342"/>
      <c r="L63" s="342"/>
      <c r="M63" s="342"/>
      <c r="N63" s="342"/>
      <c r="O63" s="342"/>
      <c r="P63" s="342"/>
      <c r="Q63" s="1"/>
      <c r="R63" s="1"/>
      <c r="S63" s="1"/>
      <c r="T63" s="1"/>
      <c r="U63" s="1"/>
      <c r="V63" s="1"/>
      <c r="W63" s="1"/>
      <c r="X63" s="1"/>
    </row>
    <row r="64" spans="1:24" ht="12.75">
      <c r="A64" s="291" t="s">
        <v>154</v>
      </c>
      <c r="B64" s="293">
        <v>4544000</v>
      </c>
      <c r="C64" s="298">
        <v>0</v>
      </c>
      <c r="D64" s="298">
        <v>0</v>
      </c>
      <c r="E64" s="353">
        <v>0</v>
      </c>
      <c r="F64" s="342"/>
      <c r="G64" s="342"/>
      <c r="H64" s="342"/>
      <c r="I64" s="342"/>
      <c r="J64" s="342"/>
      <c r="K64" s="342"/>
      <c r="L64" s="342"/>
      <c r="M64" s="342"/>
      <c r="N64" s="342"/>
      <c r="O64" s="342"/>
      <c r="P64" s="342"/>
      <c r="Q64" s="1"/>
      <c r="R64" s="1"/>
      <c r="S64" s="1"/>
      <c r="T64" s="1"/>
      <c r="U64" s="1"/>
      <c r="V64" s="1"/>
      <c r="W64" s="1"/>
      <c r="X64" s="1"/>
    </row>
    <row r="65" spans="1:24" ht="12.75">
      <c r="A65" s="291" t="s">
        <v>144</v>
      </c>
      <c r="B65" s="293">
        <v>9886000</v>
      </c>
      <c r="C65" s="298">
        <v>133225000</v>
      </c>
      <c r="D65" s="298">
        <v>0</v>
      </c>
      <c r="E65" s="353">
        <v>0</v>
      </c>
      <c r="F65" s="342"/>
      <c r="G65" s="342"/>
      <c r="H65" s="342"/>
      <c r="I65" s="342"/>
      <c r="J65" s="342"/>
      <c r="K65" s="342"/>
      <c r="L65" s="342"/>
      <c r="M65" s="342"/>
      <c r="N65" s="342"/>
      <c r="O65" s="342"/>
      <c r="P65" s="342"/>
      <c r="Q65" s="1"/>
      <c r="R65" s="1"/>
      <c r="S65" s="1"/>
      <c r="T65" s="1"/>
      <c r="U65" s="1"/>
      <c r="V65" s="1"/>
      <c r="W65" s="1"/>
      <c r="X65" s="1"/>
    </row>
    <row r="66" spans="1:24" ht="12.75">
      <c r="A66" s="291" t="s">
        <v>29</v>
      </c>
      <c r="B66" s="293">
        <v>16304000</v>
      </c>
      <c r="C66" s="298">
        <v>0</v>
      </c>
      <c r="D66" s="298">
        <v>539613200</v>
      </c>
      <c r="E66" s="298">
        <v>3006.51014</v>
      </c>
      <c r="F66" s="342"/>
      <c r="G66" s="342"/>
      <c r="H66" s="342"/>
      <c r="I66" s="342"/>
      <c r="J66" s="342"/>
      <c r="K66" s="342"/>
      <c r="L66" s="342"/>
      <c r="M66" s="342"/>
      <c r="N66" s="342"/>
      <c r="O66" s="342"/>
      <c r="P66" s="342"/>
      <c r="Q66" s="1"/>
      <c r="R66" s="1"/>
      <c r="S66" s="1"/>
      <c r="T66" s="1"/>
      <c r="U66" s="1"/>
      <c r="V66" s="1"/>
      <c r="W66" s="1"/>
      <c r="X66" s="1"/>
    </row>
    <row r="67" spans="1:24" ht="12.75">
      <c r="A67" s="291" t="s">
        <v>117</v>
      </c>
      <c r="B67" s="293">
        <v>1310584000</v>
      </c>
      <c r="C67" s="298">
        <v>7454395000</v>
      </c>
      <c r="D67" s="298">
        <v>7599434850</v>
      </c>
      <c r="E67" s="298">
        <v>10892695.8314</v>
      </c>
      <c r="F67" s="342"/>
      <c r="G67" s="342"/>
      <c r="H67" s="342"/>
      <c r="I67" s="342"/>
      <c r="J67" s="342"/>
      <c r="K67" s="342"/>
      <c r="L67" s="342"/>
      <c r="M67" s="342"/>
      <c r="N67" s="342"/>
      <c r="O67" s="342"/>
      <c r="P67" s="342"/>
      <c r="Q67" s="1"/>
      <c r="R67" s="1"/>
      <c r="S67" s="1"/>
      <c r="T67" s="1"/>
      <c r="U67" s="1"/>
      <c r="V67" s="1"/>
      <c r="W67" s="1"/>
      <c r="X67" s="1"/>
    </row>
    <row r="68" spans="1:24" ht="12.75">
      <c r="A68" s="291" t="s">
        <v>189</v>
      </c>
      <c r="B68" s="293">
        <v>6980000</v>
      </c>
      <c r="C68" s="298">
        <v>0</v>
      </c>
      <c r="D68" s="298">
        <v>0</v>
      </c>
      <c r="E68" s="353">
        <v>0</v>
      </c>
      <c r="F68" s="342"/>
      <c r="G68" s="342"/>
      <c r="H68" s="342"/>
      <c r="I68" s="342"/>
      <c r="J68" s="342"/>
      <c r="K68" s="342"/>
      <c r="L68" s="342"/>
      <c r="M68" s="342"/>
      <c r="N68" s="342"/>
      <c r="O68" s="342"/>
      <c r="P68" s="342"/>
      <c r="Q68" s="1"/>
      <c r="R68" s="1"/>
      <c r="S68" s="1"/>
      <c r="T68" s="1"/>
      <c r="U68" s="1"/>
      <c r="V68" s="1"/>
      <c r="W68" s="1"/>
      <c r="X68" s="1"/>
    </row>
    <row r="69" spans="1:24" ht="12.75">
      <c r="A69" s="291" t="s">
        <v>190</v>
      </c>
      <c r="B69" s="293">
        <v>526000</v>
      </c>
      <c r="C69" s="298">
        <v>0</v>
      </c>
      <c r="D69" s="298">
        <v>0</v>
      </c>
      <c r="E69" s="353">
        <v>0</v>
      </c>
      <c r="F69" s="342"/>
      <c r="G69" s="342"/>
      <c r="H69" s="342"/>
      <c r="I69" s="342"/>
      <c r="J69" s="342"/>
      <c r="K69" s="342"/>
      <c r="L69" s="342"/>
      <c r="M69" s="342"/>
      <c r="N69" s="342"/>
      <c r="O69" s="342"/>
      <c r="P69" s="342"/>
      <c r="Q69" s="1"/>
      <c r="R69" s="1"/>
      <c r="S69" s="1"/>
      <c r="T69" s="1"/>
      <c r="U69" s="1"/>
      <c r="V69" s="1"/>
      <c r="W69" s="1"/>
      <c r="X69" s="1"/>
    </row>
    <row r="70" spans="1:24" ht="12.75">
      <c r="A70" s="291" t="s">
        <v>25</v>
      </c>
      <c r="B70" s="293">
        <v>42597000</v>
      </c>
      <c r="C70" s="298">
        <v>1316920000</v>
      </c>
      <c r="D70" s="298">
        <v>3125377499.9999995</v>
      </c>
      <c r="E70" s="298">
        <v>312946.54772000003</v>
      </c>
      <c r="F70" s="342"/>
      <c r="G70" s="342"/>
      <c r="H70" s="342"/>
      <c r="I70" s="342"/>
      <c r="J70" s="342"/>
      <c r="K70" s="342"/>
      <c r="L70" s="342"/>
      <c r="M70" s="342"/>
      <c r="N70" s="342"/>
      <c r="O70" s="342"/>
      <c r="P70" s="342"/>
      <c r="Q70" s="1"/>
      <c r="R70" s="1"/>
      <c r="S70" s="1"/>
      <c r="T70" s="1"/>
      <c r="U70" s="1"/>
      <c r="V70" s="1"/>
      <c r="W70" s="1"/>
      <c r="X70" s="1"/>
    </row>
    <row r="71" spans="1:24" ht="12.75">
      <c r="A71" s="291" t="s">
        <v>186</v>
      </c>
      <c r="B71" s="293">
        <v>711000</v>
      </c>
      <c r="C71" s="298">
        <v>0</v>
      </c>
      <c r="D71" s="298">
        <v>0</v>
      </c>
      <c r="E71" s="353">
        <v>0</v>
      </c>
      <c r="F71" s="342"/>
      <c r="G71" s="342"/>
      <c r="H71" s="342"/>
      <c r="I71" s="342"/>
      <c r="J71" s="342"/>
      <c r="K71" s="342"/>
      <c r="L71" s="342"/>
      <c r="M71" s="342"/>
      <c r="N71" s="342"/>
      <c r="O71" s="342"/>
      <c r="P71" s="342"/>
      <c r="Q71" s="1"/>
      <c r="R71" s="1"/>
      <c r="S71" s="1"/>
      <c r="T71" s="1"/>
      <c r="U71" s="1"/>
      <c r="V71" s="1"/>
      <c r="W71" s="1"/>
      <c r="X71" s="1"/>
    </row>
    <row r="72" spans="1:24" ht="12.75">
      <c r="A72" s="291" t="s">
        <v>267</v>
      </c>
      <c r="B72" s="293">
        <v>3802000</v>
      </c>
      <c r="C72" s="298">
        <v>515015000</v>
      </c>
      <c r="D72" s="298">
        <v>848266300</v>
      </c>
      <c r="E72" s="353">
        <v>0</v>
      </c>
      <c r="F72" s="342"/>
      <c r="G72" s="342"/>
      <c r="H72" s="342"/>
      <c r="I72" s="342"/>
      <c r="J72" s="342"/>
      <c r="K72" s="342"/>
      <c r="L72" s="342"/>
      <c r="M72" s="342"/>
      <c r="N72" s="342"/>
      <c r="O72" s="342"/>
      <c r="P72" s="342"/>
      <c r="Q72" s="1"/>
      <c r="R72" s="1"/>
      <c r="S72" s="1"/>
      <c r="T72" s="1"/>
      <c r="U72" s="1"/>
      <c r="V72" s="1"/>
      <c r="W72" s="1"/>
      <c r="X72" s="1"/>
    </row>
    <row r="73" spans="1:24" ht="12.75">
      <c r="A73" s="291" t="s">
        <v>18</v>
      </c>
      <c r="B73" s="293">
        <v>4331000</v>
      </c>
      <c r="C73" s="298">
        <v>0</v>
      </c>
      <c r="D73" s="298">
        <v>0</v>
      </c>
      <c r="E73" s="353">
        <v>0</v>
      </c>
      <c r="F73" s="342"/>
      <c r="G73" s="342"/>
      <c r="H73" s="342"/>
      <c r="I73" s="342"/>
      <c r="J73" s="342"/>
      <c r="K73" s="342"/>
      <c r="L73" s="342"/>
      <c r="M73" s="342"/>
      <c r="N73" s="342"/>
      <c r="O73" s="342"/>
      <c r="P73" s="342"/>
      <c r="Q73" s="1"/>
      <c r="R73" s="1"/>
      <c r="S73" s="1"/>
      <c r="T73" s="1"/>
      <c r="U73" s="1"/>
      <c r="V73" s="1"/>
      <c r="W73" s="1"/>
      <c r="X73" s="1"/>
    </row>
    <row r="74" spans="1:24" ht="12.75">
      <c r="A74" s="291" t="s">
        <v>102</v>
      </c>
      <c r="B74" s="293">
        <v>19747000</v>
      </c>
      <c r="C74" s="298">
        <v>0</v>
      </c>
      <c r="D74" s="298">
        <v>281813700</v>
      </c>
      <c r="E74" s="353">
        <v>0</v>
      </c>
      <c r="F74" s="342"/>
      <c r="G74" s="342"/>
      <c r="H74" s="342"/>
      <c r="I74" s="342"/>
      <c r="J74" s="342"/>
      <c r="K74" s="342"/>
      <c r="L74" s="342"/>
      <c r="M74" s="342"/>
      <c r="N74" s="342"/>
      <c r="O74" s="342"/>
      <c r="P74" s="342"/>
      <c r="Q74" s="1"/>
      <c r="R74" s="1"/>
      <c r="S74" s="1"/>
      <c r="T74" s="1"/>
      <c r="U74" s="1"/>
      <c r="V74" s="1"/>
      <c r="W74" s="1"/>
      <c r="X74" s="1"/>
    </row>
    <row r="75" spans="1:24" ht="12.75">
      <c r="A75" s="291" t="s">
        <v>45</v>
      </c>
      <c r="B75" s="293">
        <v>4493000</v>
      </c>
      <c r="C75" s="298">
        <v>0</v>
      </c>
      <c r="D75" s="298">
        <v>353150000.00000006</v>
      </c>
      <c r="E75" s="353">
        <v>0</v>
      </c>
      <c r="F75" s="342"/>
      <c r="G75" s="342"/>
      <c r="H75" s="342"/>
      <c r="I75" s="342"/>
      <c r="J75" s="342"/>
      <c r="K75" s="342"/>
      <c r="L75" s="342"/>
      <c r="M75" s="342"/>
      <c r="N75" s="342"/>
      <c r="O75" s="342"/>
      <c r="P75" s="342"/>
      <c r="Q75" s="1"/>
      <c r="R75" s="1"/>
      <c r="S75" s="1"/>
      <c r="T75" s="1"/>
      <c r="U75" s="1"/>
      <c r="V75" s="1"/>
      <c r="W75" s="1"/>
      <c r="X75" s="1"/>
    </row>
    <row r="76" spans="1:24" ht="12.75">
      <c r="A76" s="291" t="s">
        <v>24</v>
      </c>
      <c r="B76" s="293">
        <v>11394000</v>
      </c>
      <c r="C76" s="298">
        <v>0</v>
      </c>
      <c r="D76" s="298">
        <v>127487149.99999999</v>
      </c>
      <c r="E76" s="353">
        <v>0</v>
      </c>
      <c r="F76" s="342"/>
      <c r="G76" s="342"/>
      <c r="H76" s="342"/>
      <c r="I76" s="342"/>
      <c r="J76" s="342"/>
      <c r="K76" s="342"/>
      <c r="L76" s="342"/>
      <c r="M76" s="342"/>
      <c r="N76" s="342"/>
      <c r="O76" s="342"/>
      <c r="P76" s="342"/>
      <c r="Q76" s="1"/>
      <c r="R76" s="1"/>
      <c r="S76" s="1"/>
      <c r="T76" s="1"/>
      <c r="U76" s="1"/>
      <c r="V76" s="1"/>
      <c r="W76" s="1"/>
      <c r="X76" s="1"/>
    </row>
    <row r="77" spans="1:24" ht="12.75">
      <c r="A77" s="291" t="s">
        <v>97</v>
      </c>
      <c r="B77" s="293">
        <v>1049000</v>
      </c>
      <c r="C77" s="298">
        <v>0</v>
      </c>
      <c r="D77" s="298">
        <v>0</v>
      </c>
      <c r="E77" s="353">
        <v>0</v>
      </c>
      <c r="F77" s="342"/>
      <c r="G77" s="342"/>
      <c r="H77" s="342"/>
      <c r="I77" s="342"/>
      <c r="J77" s="342"/>
      <c r="K77" s="342"/>
      <c r="L77" s="342"/>
      <c r="M77" s="342"/>
      <c r="N77" s="342"/>
      <c r="O77" s="342"/>
      <c r="P77" s="342"/>
      <c r="Q77" s="1"/>
      <c r="R77" s="1"/>
      <c r="S77" s="1"/>
      <c r="T77" s="1"/>
      <c r="U77" s="1"/>
      <c r="V77" s="1"/>
      <c r="W77" s="1"/>
      <c r="X77" s="1"/>
    </row>
    <row r="78" spans="1:24" ht="12.75">
      <c r="A78" s="291" t="s">
        <v>34</v>
      </c>
      <c r="B78" s="293">
        <v>10229000</v>
      </c>
      <c r="C78" s="298">
        <v>0</v>
      </c>
      <c r="D78" s="298">
        <v>39411560</v>
      </c>
      <c r="E78" s="298">
        <v>421475.36217999994</v>
      </c>
      <c r="F78" s="342"/>
      <c r="G78" s="342"/>
      <c r="H78" s="342"/>
      <c r="I78" s="342"/>
      <c r="J78" s="342"/>
      <c r="K78" s="342"/>
      <c r="L78" s="342"/>
      <c r="M78" s="342"/>
      <c r="N78" s="342"/>
      <c r="O78" s="342"/>
      <c r="P78" s="342"/>
      <c r="Q78" s="1"/>
      <c r="R78" s="1"/>
      <c r="S78" s="1"/>
      <c r="T78" s="1"/>
      <c r="U78" s="1"/>
      <c r="V78" s="1"/>
      <c r="W78" s="1"/>
      <c r="X78" s="1"/>
    </row>
    <row r="79" spans="1:24" ht="12.75">
      <c r="A79" s="291" t="s">
        <v>105</v>
      </c>
      <c r="B79" s="293">
        <v>64390000</v>
      </c>
      <c r="C79" s="298">
        <v>0</v>
      </c>
      <c r="D79" s="298">
        <v>0</v>
      </c>
      <c r="E79" s="298">
        <v>694.45615</v>
      </c>
      <c r="F79" s="342"/>
      <c r="G79" s="342"/>
      <c r="H79" s="342"/>
      <c r="I79" s="342"/>
      <c r="J79" s="342"/>
      <c r="K79" s="342"/>
      <c r="L79" s="342"/>
      <c r="M79" s="342"/>
      <c r="N79" s="342"/>
      <c r="O79" s="342"/>
      <c r="P79" s="342"/>
      <c r="Q79" s="1"/>
      <c r="R79" s="1"/>
      <c r="S79" s="1"/>
      <c r="T79" s="1"/>
      <c r="U79" s="1"/>
      <c r="V79" s="1"/>
      <c r="W79" s="1"/>
      <c r="X79" s="1"/>
    </row>
    <row r="80" spans="1:24" ht="12.75">
      <c r="A80" s="291" t="s">
        <v>42</v>
      </c>
      <c r="B80" s="293">
        <v>5468000</v>
      </c>
      <c r="C80" s="298">
        <v>809205000</v>
      </c>
      <c r="D80" s="298">
        <v>2150047840</v>
      </c>
      <c r="E80" s="353">
        <v>0</v>
      </c>
      <c r="F80" s="342"/>
      <c r="G80" s="342"/>
      <c r="H80" s="342"/>
      <c r="I80" s="342"/>
      <c r="J80" s="342"/>
      <c r="K80" s="342"/>
      <c r="L80" s="342"/>
      <c r="M80" s="342"/>
      <c r="N80" s="342"/>
      <c r="O80" s="342"/>
      <c r="P80" s="342"/>
      <c r="Q80" s="1"/>
      <c r="R80" s="1"/>
      <c r="S80" s="1"/>
      <c r="T80" s="1"/>
      <c r="U80" s="1"/>
      <c r="V80" s="1"/>
      <c r="W80" s="1"/>
      <c r="X80" s="1"/>
    </row>
    <row r="81" spans="1:24" ht="12.75">
      <c r="A81" s="291" t="s">
        <v>79</v>
      </c>
      <c r="B81" s="293">
        <v>694000</v>
      </c>
      <c r="C81" s="298">
        <v>0</v>
      </c>
      <c r="D81" s="298">
        <v>0</v>
      </c>
      <c r="E81" s="353">
        <v>0</v>
      </c>
      <c r="F81" s="342"/>
      <c r="G81" s="342"/>
      <c r="H81" s="342"/>
      <c r="I81" s="342"/>
      <c r="J81" s="342"/>
      <c r="K81" s="342"/>
      <c r="L81" s="342"/>
      <c r="M81" s="342"/>
      <c r="N81" s="342"/>
      <c r="O81" s="342"/>
      <c r="P81" s="342"/>
      <c r="Q81" s="1"/>
      <c r="R81" s="1"/>
      <c r="S81" s="1"/>
      <c r="T81" s="1"/>
      <c r="U81" s="1"/>
      <c r="V81" s="1"/>
      <c r="W81" s="1"/>
      <c r="X81" s="1"/>
    </row>
    <row r="82" spans="1:24" ht="12.75">
      <c r="A82" s="291" t="s">
        <v>177</v>
      </c>
      <c r="B82" s="293">
        <v>72000</v>
      </c>
      <c r="C82" s="298">
        <v>0</v>
      </c>
      <c r="D82" s="298">
        <v>0</v>
      </c>
      <c r="E82" s="353">
        <v>0</v>
      </c>
      <c r="F82" s="342"/>
      <c r="G82" s="342"/>
      <c r="H82" s="342"/>
      <c r="I82" s="342"/>
      <c r="J82" s="342"/>
      <c r="K82" s="342"/>
      <c r="L82" s="342"/>
      <c r="M82" s="342"/>
      <c r="N82" s="342"/>
      <c r="O82" s="342"/>
      <c r="P82" s="342"/>
      <c r="Q82" s="1"/>
      <c r="R82" s="1"/>
      <c r="S82" s="1"/>
      <c r="T82" s="1"/>
      <c r="U82" s="1"/>
      <c r="V82" s="1"/>
      <c r="W82" s="1"/>
      <c r="X82" s="1"/>
    </row>
    <row r="83" spans="1:24" ht="12.75">
      <c r="A83" s="291" t="s">
        <v>46</v>
      </c>
      <c r="B83" s="293">
        <v>9426000</v>
      </c>
      <c r="C83" s="298">
        <v>0</v>
      </c>
      <c r="D83" s="298">
        <v>0</v>
      </c>
      <c r="E83" s="353">
        <v>0</v>
      </c>
      <c r="F83" s="342"/>
      <c r="G83" s="342"/>
      <c r="H83" s="342"/>
      <c r="I83" s="342"/>
      <c r="J83" s="342"/>
      <c r="K83" s="342"/>
      <c r="L83" s="342"/>
      <c r="M83" s="342"/>
      <c r="N83" s="342"/>
      <c r="O83" s="342"/>
      <c r="P83" s="342"/>
      <c r="Q83" s="1"/>
      <c r="R83" s="1"/>
      <c r="S83" s="1"/>
      <c r="T83" s="1"/>
      <c r="U83" s="1"/>
      <c r="V83" s="1"/>
      <c r="W83" s="1"/>
      <c r="X83" s="1"/>
    </row>
    <row r="84" spans="1:24" ht="12.75">
      <c r="A84" s="291" t="s">
        <v>40</v>
      </c>
      <c r="B84" s="293">
        <v>14135000</v>
      </c>
      <c r="C84" s="298">
        <v>996085000</v>
      </c>
      <c r="D84" s="298">
        <v>247911299.99999997</v>
      </c>
      <c r="E84" s="353">
        <v>0</v>
      </c>
      <c r="F84" s="342"/>
      <c r="G84" s="342"/>
      <c r="H84" s="342"/>
      <c r="I84" s="342"/>
      <c r="J84" s="342"/>
      <c r="K84" s="342"/>
      <c r="L84" s="342"/>
      <c r="M84" s="342"/>
      <c r="N84" s="342"/>
      <c r="O84" s="342"/>
      <c r="P84" s="342"/>
      <c r="Q84" s="1"/>
      <c r="R84" s="1"/>
      <c r="S84" s="1"/>
      <c r="T84" s="1"/>
      <c r="U84" s="1"/>
      <c r="V84" s="1"/>
      <c r="W84" s="1"/>
      <c r="X84" s="1"/>
    </row>
    <row r="85" spans="1:24" ht="12.75">
      <c r="A85" s="291" t="s">
        <v>73</v>
      </c>
      <c r="B85" s="293">
        <v>75677000</v>
      </c>
      <c r="C85" s="298">
        <v>1626440000</v>
      </c>
      <c r="D85" s="298">
        <v>7201787950</v>
      </c>
      <c r="E85" s="298">
        <v>250.22467</v>
      </c>
      <c r="F85" s="342"/>
      <c r="G85" s="342"/>
      <c r="H85" s="342"/>
      <c r="I85" s="342"/>
      <c r="J85" s="342"/>
      <c r="K85" s="342"/>
      <c r="L85" s="342"/>
      <c r="M85" s="342"/>
      <c r="N85" s="342"/>
      <c r="O85" s="342"/>
      <c r="P85" s="342"/>
      <c r="Q85" s="1"/>
      <c r="R85" s="1"/>
      <c r="S85" s="1"/>
      <c r="T85" s="1"/>
      <c r="U85" s="1"/>
      <c r="V85" s="1"/>
      <c r="W85" s="1"/>
      <c r="X85" s="1"/>
    </row>
    <row r="86" spans="1:24" ht="12.75">
      <c r="A86" s="291" t="s">
        <v>44</v>
      </c>
      <c r="B86" s="293">
        <v>5982000</v>
      </c>
      <c r="C86" s="298">
        <v>0</v>
      </c>
      <c r="D86" s="298">
        <v>0</v>
      </c>
      <c r="E86" s="353">
        <v>0</v>
      </c>
      <c r="F86" s="342"/>
      <c r="G86" s="342"/>
      <c r="H86" s="342"/>
      <c r="I86" s="342"/>
      <c r="J86" s="342"/>
      <c r="K86" s="342"/>
      <c r="L86" s="342"/>
      <c r="M86" s="342"/>
      <c r="N86" s="342"/>
      <c r="O86" s="342"/>
      <c r="P86" s="342"/>
      <c r="Q86" s="1"/>
      <c r="R86" s="1"/>
      <c r="S86" s="1"/>
      <c r="T86" s="1"/>
      <c r="U86" s="1"/>
      <c r="V86" s="1"/>
      <c r="W86" s="1"/>
      <c r="X86" s="1"/>
    </row>
    <row r="87" spans="1:24" ht="12.75">
      <c r="A87" s="291" t="s">
        <v>139</v>
      </c>
      <c r="B87" s="293">
        <v>600000</v>
      </c>
      <c r="C87" s="298">
        <v>537645000</v>
      </c>
      <c r="D87" s="298">
        <v>566805750</v>
      </c>
      <c r="E87" s="353">
        <v>0</v>
      </c>
      <c r="F87" s="342"/>
      <c r="G87" s="342"/>
      <c r="H87" s="342"/>
      <c r="I87" s="342"/>
      <c r="J87" s="342"/>
      <c r="K87" s="342"/>
      <c r="L87" s="342"/>
      <c r="M87" s="342"/>
      <c r="N87" s="342"/>
      <c r="O87" s="342"/>
      <c r="P87" s="342"/>
      <c r="Q87" s="1"/>
      <c r="R87" s="1"/>
      <c r="S87" s="1"/>
      <c r="T87" s="1"/>
      <c r="U87" s="1"/>
      <c r="V87" s="1"/>
      <c r="W87" s="1"/>
      <c r="X87" s="1"/>
    </row>
    <row r="88" spans="1:24" ht="12.75">
      <c r="A88" s="291" t="s">
        <v>100</v>
      </c>
      <c r="B88" s="293">
        <v>5358000</v>
      </c>
      <c r="C88" s="298">
        <v>0</v>
      </c>
      <c r="D88" s="298">
        <v>0</v>
      </c>
      <c r="E88" s="353">
        <v>0</v>
      </c>
      <c r="F88" s="342"/>
      <c r="G88" s="342"/>
      <c r="H88" s="342"/>
      <c r="I88" s="342"/>
      <c r="J88" s="342"/>
      <c r="K88" s="342"/>
      <c r="L88" s="342"/>
      <c r="M88" s="342"/>
      <c r="N88" s="342"/>
      <c r="O88" s="342"/>
      <c r="P88" s="342"/>
      <c r="Q88" s="1"/>
      <c r="R88" s="1"/>
      <c r="S88" s="1"/>
      <c r="T88" s="1"/>
      <c r="U88" s="1"/>
      <c r="V88" s="1"/>
      <c r="W88" s="1"/>
      <c r="X88" s="1"/>
    </row>
    <row r="89" spans="1:24" ht="12.75">
      <c r="A89" s="291" t="s">
        <v>64</v>
      </c>
      <c r="B89" s="293">
        <v>1316000</v>
      </c>
      <c r="C89" s="298">
        <v>0</v>
      </c>
      <c r="D89" s="298">
        <v>0</v>
      </c>
      <c r="E89" s="298">
        <v>87568.71671</v>
      </c>
      <c r="F89" s="342"/>
      <c r="G89" s="342"/>
      <c r="H89" s="342"/>
      <c r="I89" s="342"/>
      <c r="J89" s="342"/>
      <c r="K89" s="342"/>
      <c r="L89" s="342"/>
      <c r="M89" s="342"/>
      <c r="N89" s="342"/>
      <c r="O89" s="342"/>
      <c r="P89" s="342"/>
      <c r="Q89" s="1"/>
      <c r="R89" s="1"/>
      <c r="S89" s="1"/>
      <c r="T89" s="1"/>
      <c r="U89" s="1"/>
      <c r="V89" s="1"/>
      <c r="W89" s="1"/>
      <c r="X89" s="1"/>
    </row>
    <row r="90" spans="1:24" ht="12.75">
      <c r="A90" s="291" t="s">
        <v>135</v>
      </c>
      <c r="B90" s="293">
        <v>79936000</v>
      </c>
      <c r="C90" s="298">
        <v>0</v>
      </c>
      <c r="D90" s="298">
        <v>0</v>
      </c>
      <c r="E90" s="353">
        <v>0</v>
      </c>
      <c r="F90" s="342"/>
      <c r="G90" s="342"/>
      <c r="H90" s="342"/>
      <c r="I90" s="342"/>
      <c r="J90" s="342"/>
      <c r="K90" s="342"/>
      <c r="L90" s="342"/>
      <c r="M90" s="342"/>
      <c r="N90" s="342"/>
      <c r="O90" s="342"/>
      <c r="P90" s="342"/>
      <c r="Q90" s="1"/>
      <c r="R90" s="1"/>
      <c r="S90" s="1"/>
      <c r="T90" s="1"/>
      <c r="U90" s="1"/>
      <c r="V90" s="1"/>
      <c r="W90" s="1"/>
      <c r="X90" s="1"/>
    </row>
    <row r="91" spans="1:24" ht="12.75">
      <c r="A91" s="291" t="s">
        <v>161</v>
      </c>
      <c r="B91" s="293">
        <v>48000</v>
      </c>
      <c r="C91" s="298">
        <v>0</v>
      </c>
      <c r="D91" s="298">
        <v>0</v>
      </c>
      <c r="E91" s="353">
        <v>0</v>
      </c>
      <c r="F91" s="342"/>
      <c r="G91" s="342"/>
      <c r="H91" s="342"/>
      <c r="I91" s="342"/>
      <c r="J91" s="342"/>
      <c r="K91" s="342"/>
      <c r="L91" s="342"/>
      <c r="M91" s="342"/>
      <c r="N91" s="342"/>
      <c r="O91" s="342"/>
      <c r="P91" s="342"/>
      <c r="Q91" s="1"/>
      <c r="R91" s="1"/>
      <c r="S91" s="1"/>
      <c r="T91" s="1"/>
      <c r="U91" s="1"/>
      <c r="V91" s="1"/>
      <c r="W91" s="1"/>
      <c r="X91" s="1"/>
    </row>
    <row r="92" spans="1:24" ht="12.75">
      <c r="A92" s="291" t="s">
        <v>57</v>
      </c>
      <c r="B92" s="293">
        <v>852000</v>
      </c>
      <c r="C92" s="298">
        <v>0</v>
      </c>
      <c r="D92" s="298">
        <v>0</v>
      </c>
      <c r="E92" s="353">
        <v>0</v>
      </c>
      <c r="F92" s="342"/>
      <c r="G92" s="342"/>
      <c r="H92" s="342"/>
      <c r="I92" s="342"/>
      <c r="J92" s="342"/>
      <c r="K92" s="342"/>
      <c r="L92" s="342"/>
      <c r="M92" s="342"/>
      <c r="N92" s="342"/>
      <c r="O92" s="342"/>
      <c r="P92" s="342"/>
      <c r="Q92" s="1"/>
      <c r="R92" s="1"/>
      <c r="S92" s="1"/>
      <c r="T92" s="1"/>
      <c r="U92" s="1"/>
      <c r="V92" s="1"/>
      <c r="W92" s="1"/>
      <c r="X92" s="1"/>
    </row>
    <row r="93" spans="1:24" ht="12.75">
      <c r="A93" s="291" t="s">
        <v>3</v>
      </c>
      <c r="B93" s="293">
        <v>5238000</v>
      </c>
      <c r="C93" s="298">
        <v>0</v>
      </c>
      <c r="D93" s="298">
        <v>0</v>
      </c>
      <c r="E93" s="353">
        <v>0</v>
      </c>
      <c r="F93" s="342"/>
      <c r="G93" s="342"/>
      <c r="H93" s="342"/>
      <c r="I93" s="342"/>
      <c r="J93" s="342"/>
      <c r="K93" s="342"/>
      <c r="L93" s="342"/>
      <c r="M93" s="342"/>
      <c r="N93" s="342"/>
      <c r="O93" s="342"/>
      <c r="P93" s="342"/>
      <c r="Q93" s="1"/>
      <c r="R93" s="1"/>
      <c r="S93" s="1"/>
      <c r="T93" s="1"/>
      <c r="U93" s="1"/>
      <c r="V93" s="1"/>
      <c r="W93" s="1"/>
      <c r="X93" s="1"/>
    </row>
    <row r="94" spans="1:24" ht="12.75">
      <c r="A94" s="291" t="s">
        <v>22</v>
      </c>
      <c r="B94" s="293">
        <v>62226000</v>
      </c>
      <c r="C94" s="298">
        <v>0</v>
      </c>
      <c r="D94" s="298">
        <v>454080270</v>
      </c>
      <c r="E94" s="298">
        <v>10238.267909999999</v>
      </c>
      <c r="F94" s="342"/>
      <c r="G94" s="342"/>
      <c r="H94" s="342"/>
      <c r="I94" s="342"/>
      <c r="J94" s="342"/>
      <c r="K94" s="342"/>
      <c r="L94" s="342"/>
      <c r="M94" s="342"/>
      <c r="N94" s="342"/>
      <c r="O94" s="342"/>
      <c r="P94" s="342"/>
      <c r="Q94" s="1"/>
      <c r="R94" s="1"/>
      <c r="S94" s="1"/>
      <c r="T94" s="1"/>
      <c r="U94" s="1"/>
      <c r="V94" s="1"/>
      <c r="W94" s="1"/>
      <c r="X94" s="1"/>
    </row>
    <row r="95" spans="1:24" ht="12.75">
      <c r="A95" s="291" t="s">
        <v>171</v>
      </c>
      <c r="B95" s="293">
        <v>191000</v>
      </c>
      <c r="C95" s="298">
        <v>0</v>
      </c>
      <c r="D95" s="298">
        <v>0</v>
      </c>
      <c r="E95" s="353">
        <v>0</v>
      </c>
      <c r="F95" s="342"/>
      <c r="G95" s="342"/>
      <c r="H95" s="342"/>
      <c r="I95" s="342"/>
      <c r="J95" s="342"/>
      <c r="K95" s="342"/>
      <c r="L95" s="342"/>
      <c r="M95" s="342"/>
      <c r="N95" s="342"/>
      <c r="O95" s="342"/>
      <c r="P95" s="342"/>
      <c r="Q95" s="1"/>
      <c r="R95" s="1"/>
      <c r="S95" s="1"/>
      <c r="T95" s="1"/>
      <c r="U95" s="1"/>
      <c r="V95" s="1"/>
      <c r="W95" s="1"/>
      <c r="X95" s="1"/>
    </row>
    <row r="96" spans="1:24" ht="12.75">
      <c r="A96" s="291" t="s">
        <v>173</v>
      </c>
      <c r="B96" s="293">
        <v>279000</v>
      </c>
      <c r="C96" s="298">
        <v>0</v>
      </c>
      <c r="D96" s="298">
        <v>0</v>
      </c>
      <c r="E96" s="353">
        <v>0</v>
      </c>
      <c r="F96" s="342"/>
      <c r="G96" s="342"/>
      <c r="H96" s="342"/>
      <c r="I96" s="342"/>
      <c r="J96" s="342"/>
      <c r="K96" s="342"/>
      <c r="L96" s="342"/>
      <c r="M96" s="342"/>
      <c r="N96" s="342"/>
      <c r="O96" s="342"/>
      <c r="P96" s="342"/>
      <c r="Q96" s="1"/>
      <c r="R96" s="1"/>
      <c r="S96" s="1"/>
      <c r="T96" s="1"/>
      <c r="U96" s="1"/>
      <c r="V96" s="1"/>
      <c r="W96" s="1"/>
      <c r="X96" s="1"/>
    </row>
    <row r="97" spans="1:24" ht="12.75">
      <c r="A97" s="291" t="s">
        <v>96</v>
      </c>
      <c r="B97" s="293">
        <v>1456000</v>
      </c>
      <c r="C97" s="298">
        <v>595680000</v>
      </c>
      <c r="D97" s="298">
        <v>477811949.99999994</v>
      </c>
      <c r="E97" s="353">
        <v>0</v>
      </c>
      <c r="F97" s="342"/>
      <c r="G97" s="342"/>
      <c r="H97" s="342"/>
      <c r="I97" s="342"/>
      <c r="J97" s="342"/>
      <c r="K97" s="342"/>
      <c r="L97" s="342"/>
      <c r="M97" s="342"/>
      <c r="N97" s="342"/>
      <c r="O97" s="342"/>
      <c r="P97" s="342"/>
      <c r="Q97" s="1"/>
      <c r="R97" s="1"/>
      <c r="S97" s="1"/>
      <c r="T97" s="1"/>
      <c r="U97" s="1"/>
      <c r="V97" s="1"/>
      <c r="W97" s="1"/>
      <c r="X97" s="1"/>
    </row>
    <row r="98" spans="1:24" ht="12.75">
      <c r="A98" s="291" t="s">
        <v>113</v>
      </c>
      <c r="B98" s="293">
        <v>1686000</v>
      </c>
      <c r="C98" s="298">
        <v>0</v>
      </c>
      <c r="D98" s="298">
        <v>0</v>
      </c>
      <c r="E98" s="353">
        <v>0</v>
      </c>
      <c r="F98" s="342"/>
      <c r="G98" s="342"/>
      <c r="H98" s="342"/>
      <c r="I98" s="342"/>
      <c r="J98" s="342"/>
      <c r="K98" s="342"/>
      <c r="L98" s="342"/>
      <c r="M98" s="342"/>
      <c r="N98" s="342"/>
      <c r="O98" s="342"/>
      <c r="P98" s="342"/>
      <c r="Q98" s="1"/>
      <c r="R98" s="1"/>
      <c r="S98" s="1"/>
      <c r="T98" s="1"/>
      <c r="U98" s="1"/>
      <c r="V98" s="1"/>
      <c r="W98" s="1"/>
      <c r="X98" s="1"/>
    </row>
    <row r="99" spans="1:24" ht="12.75">
      <c r="A99" s="291" t="s">
        <v>66</v>
      </c>
      <c r="B99" s="293">
        <v>4646000</v>
      </c>
      <c r="C99" s="298">
        <v>0</v>
      </c>
      <c r="D99" s="298">
        <v>6639229.999999999</v>
      </c>
      <c r="E99" s="298">
        <v>38.5809</v>
      </c>
      <c r="F99" s="342"/>
      <c r="G99" s="342"/>
      <c r="H99" s="342"/>
      <c r="I99" s="342"/>
      <c r="J99" s="342"/>
      <c r="K99" s="342"/>
      <c r="L99" s="342"/>
      <c r="M99" s="342"/>
      <c r="N99" s="342"/>
      <c r="O99" s="342"/>
      <c r="P99" s="342"/>
      <c r="Q99" s="1"/>
      <c r="R99" s="1"/>
      <c r="S99" s="1"/>
      <c r="T99" s="1"/>
      <c r="U99" s="1"/>
      <c r="V99" s="1"/>
      <c r="W99" s="1"/>
      <c r="X99" s="1"/>
    </row>
    <row r="100" spans="1:24" ht="12.75">
      <c r="A100" s="291" t="s">
        <v>30</v>
      </c>
      <c r="B100" s="293">
        <v>82401000</v>
      </c>
      <c r="C100" s="298">
        <v>0</v>
      </c>
      <c r="D100" s="298">
        <v>4883746639.999999</v>
      </c>
      <c r="E100" s="298">
        <v>1374501.51</v>
      </c>
      <c r="F100" s="342"/>
      <c r="G100" s="342"/>
      <c r="H100" s="342"/>
      <c r="I100" s="342"/>
      <c r="J100" s="342"/>
      <c r="K100" s="342"/>
      <c r="L100" s="342"/>
      <c r="M100" s="342"/>
      <c r="N100" s="342"/>
      <c r="O100" s="342"/>
      <c r="P100" s="342"/>
      <c r="Q100" s="1"/>
      <c r="R100" s="1"/>
      <c r="S100" s="1"/>
      <c r="T100" s="1"/>
      <c r="U100" s="1"/>
      <c r="V100" s="1"/>
      <c r="W100" s="1"/>
      <c r="X100" s="1"/>
    </row>
    <row r="101" spans="1:24" ht="12.75">
      <c r="A101" s="291" t="s">
        <v>108</v>
      </c>
      <c r="B101" s="293">
        <v>22981000</v>
      </c>
      <c r="C101" s="298">
        <v>0</v>
      </c>
      <c r="D101" s="298">
        <v>0</v>
      </c>
      <c r="E101" s="353">
        <v>0</v>
      </c>
      <c r="F101" s="342"/>
      <c r="G101" s="342"/>
      <c r="H101" s="342"/>
      <c r="I101" s="342"/>
      <c r="J101" s="342"/>
      <c r="K101" s="342"/>
      <c r="L101" s="342"/>
      <c r="M101" s="342"/>
      <c r="N101" s="342"/>
      <c r="O101" s="342"/>
      <c r="P101" s="342"/>
      <c r="Q101" s="1"/>
      <c r="R101" s="1"/>
      <c r="S101" s="1"/>
      <c r="T101" s="1"/>
      <c r="U101" s="1"/>
      <c r="V101" s="1"/>
      <c r="W101" s="1"/>
      <c r="X101" s="1"/>
    </row>
    <row r="102" spans="1:24" ht="12.75">
      <c r="A102" s="291" t="s">
        <v>76</v>
      </c>
      <c r="B102" s="293">
        <v>10706000</v>
      </c>
      <c r="C102" s="298">
        <v>0</v>
      </c>
      <c r="D102" s="298">
        <v>6215450</v>
      </c>
      <c r="E102" s="298">
        <v>450224.74475</v>
      </c>
      <c r="F102" s="342"/>
      <c r="G102" s="342"/>
      <c r="H102" s="342"/>
      <c r="I102" s="342"/>
      <c r="J102" s="342"/>
      <c r="K102" s="342"/>
      <c r="L102" s="342"/>
      <c r="M102" s="342"/>
      <c r="N102" s="342"/>
      <c r="O102" s="342"/>
      <c r="P102" s="342"/>
      <c r="Q102" s="1"/>
      <c r="R102" s="1"/>
      <c r="S102" s="1"/>
      <c r="T102" s="1"/>
      <c r="U102" s="1"/>
      <c r="V102" s="1"/>
      <c r="W102" s="1"/>
      <c r="X102" s="1"/>
    </row>
    <row r="103" spans="1:24" ht="12.75">
      <c r="A103" s="291" t="s">
        <v>164</v>
      </c>
      <c r="B103" s="293">
        <v>58000</v>
      </c>
      <c r="C103" s="298">
        <v>0</v>
      </c>
      <c r="D103" s="298">
        <v>0</v>
      </c>
      <c r="E103" s="353">
        <v>0</v>
      </c>
      <c r="F103" s="342"/>
      <c r="G103" s="342"/>
      <c r="H103" s="342"/>
      <c r="I103" s="342"/>
      <c r="J103" s="342"/>
      <c r="K103" s="342"/>
      <c r="L103" s="342"/>
      <c r="M103" s="342"/>
      <c r="N103" s="342"/>
      <c r="O103" s="342"/>
      <c r="P103" s="342"/>
      <c r="Q103" s="1"/>
      <c r="R103" s="1"/>
      <c r="S103" s="1"/>
      <c r="T103" s="1"/>
      <c r="U103" s="1"/>
      <c r="V103" s="1"/>
      <c r="W103" s="1"/>
      <c r="X103" s="1"/>
    </row>
    <row r="104" spans="1:24" ht="12.75">
      <c r="A104" s="291" t="s">
        <v>176</v>
      </c>
      <c r="B104" s="293">
        <v>106000</v>
      </c>
      <c r="C104" s="298">
        <v>0</v>
      </c>
      <c r="D104" s="298">
        <v>0</v>
      </c>
      <c r="E104" s="353">
        <v>0</v>
      </c>
      <c r="F104" s="342"/>
      <c r="G104" s="342"/>
      <c r="H104" s="342"/>
      <c r="I104" s="342"/>
      <c r="J104" s="342"/>
      <c r="K104" s="342"/>
      <c r="L104" s="342"/>
      <c r="M104" s="342"/>
      <c r="N104" s="342"/>
      <c r="O104" s="342"/>
      <c r="P104" s="342"/>
      <c r="Q104" s="1"/>
      <c r="R104" s="1"/>
      <c r="S104" s="1"/>
      <c r="T104" s="1"/>
      <c r="U104" s="1"/>
      <c r="V104" s="1"/>
      <c r="W104" s="1"/>
      <c r="X104" s="1"/>
    </row>
    <row r="105" spans="1:24" ht="12.75">
      <c r="A105" s="291" t="s">
        <v>168</v>
      </c>
      <c r="B105" s="293">
        <v>445000</v>
      </c>
      <c r="C105" s="298">
        <v>0</v>
      </c>
      <c r="D105" s="298">
        <v>0</v>
      </c>
      <c r="E105" s="353">
        <v>0</v>
      </c>
      <c r="F105" s="342"/>
      <c r="G105" s="342"/>
      <c r="H105" s="342"/>
      <c r="I105" s="342"/>
      <c r="J105" s="342"/>
      <c r="K105" s="342"/>
      <c r="L105" s="342"/>
      <c r="M105" s="342"/>
      <c r="N105" s="342"/>
      <c r="O105" s="342"/>
      <c r="P105" s="342"/>
      <c r="Q105" s="1"/>
      <c r="R105" s="1"/>
      <c r="S105" s="1"/>
      <c r="T105" s="1"/>
      <c r="U105" s="1"/>
      <c r="V105" s="1"/>
      <c r="W105" s="1"/>
      <c r="X105" s="1"/>
    </row>
    <row r="106" spans="1:24" ht="12.75">
      <c r="A106" s="291" t="s">
        <v>104</v>
      </c>
      <c r="B106" s="293">
        <v>12728000</v>
      </c>
      <c r="C106" s="298">
        <v>0</v>
      </c>
      <c r="D106" s="298">
        <v>0</v>
      </c>
      <c r="E106" s="353">
        <v>0</v>
      </c>
      <c r="F106" s="342"/>
      <c r="G106" s="342"/>
      <c r="H106" s="342"/>
      <c r="I106" s="342"/>
      <c r="J106" s="342"/>
      <c r="K106" s="342"/>
      <c r="L106" s="342"/>
      <c r="M106" s="342"/>
      <c r="N106" s="342"/>
      <c r="O106" s="342"/>
      <c r="P106" s="342"/>
      <c r="Q106" s="1"/>
      <c r="R106" s="1"/>
      <c r="S106" s="1"/>
      <c r="T106" s="1"/>
      <c r="U106" s="1"/>
      <c r="V106" s="1"/>
      <c r="W106" s="1"/>
      <c r="X106" s="1"/>
    </row>
    <row r="107" spans="1:24" ht="12.75">
      <c r="A107" s="291" t="s">
        <v>130</v>
      </c>
      <c r="B107" s="293">
        <v>9569000</v>
      </c>
      <c r="C107" s="298">
        <v>0</v>
      </c>
      <c r="D107" s="298">
        <v>0</v>
      </c>
      <c r="E107" s="353">
        <v>0</v>
      </c>
      <c r="F107" s="342"/>
      <c r="G107" s="342"/>
      <c r="H107" s="342"/>
      <c r="I107" s="342"/>
      <c r="J107" s="342"/>
      <c r="K107" s="342"/>
      <c r="L107" s="342"/>
      <c r="M107" s="342"/>
      <c r="N107" s="342"/>
      <c r="O107" s="342"/>
      <c r="P107" s="342"/>
      <c r="Q107" s="1"/>
      <c r="R107" s="1"/>
      <c r="S107" s="1"/>
      <c r="T107" s="1"/>
      <c r="U107" s="1"/>
      <c r="V107" s="1"/>
      <c r="W107" s="1"/>
      <c r="X107" s="1"/>
    </row>
    <row r="108" spans="1:24" ht="12.75">
      <c r="A108" s="291" t="s">
        <v>126</v>
      </c>
      <c r="B108" s="293">
        <v>1473000</v>
      </c>
      <c r="C108" s="298">
        <v>0</v>
      </c>
      <c r="D108" s="298">
        <v>0</v>
      </c>
      <c r="E108" s="353">
        <v>0</v>
      </c>
      <c r="F108" s="342"/>
      <c r="G108" s="342"/>
      <c r="H108" s="342"/>
      <c r="I108" s="342"/>
      <c r="J108" s="342"/>
      <c r="K108" s="342"/>
      <c r="L108" s="342"/>
      <c r="M108" s="342"/>
      <c r="N108" s="342"/>
      <c r="O108" s="342"/>
      <c r="P108" s="342"/>
      <c r="Q108" s="1"/>
      <c r="R108" s="1"/>
      <c r="S108" s="1"/>
      <c r="T108" s="1"/>
      <c r="U108" s="1"/>
      <c r="V108" s="1"/>
      <c r="W108" s="1"/>
      <c r="X108" s="1"/>
    </row>
    <row r="109" spans="1:24" ht="12.75">
      <c r="A109" s="291" t="s">
        <v>85</v>
      </c>
      <c r="B109" s="293">
        <v>764000</v>
      </c>
      <c r="C109" s="298">
        <v>0</v>
      </c>
      <c r="D109" s="298">
        <v>0</v>
      </c>
      <c r="E109" s="353">
        <v>0</v>
      </c>
      <c r="F109" s="342"/>
      <c r="G109" s="342"/>
      <c r="H109" s="342"/>
      <c r="I109" s="342"/>
      <c r="J109" s="342"/>
      <c r="K109" s="342"/>
      <c r="L109" s="342"/>
      <c r="M109" s="342"/>
      <c r="N109" s="342"/>
      <c r="O109" s="342"/>
      <c r="P109" s="342"/>
      <c r="Q109" s="1"/>
      <c r="R109" s="1"/>
      <c r="S109" s="1"/>
      <c r="T109" s="1"/>
      <c r="U109" s="1"/>
      <c r="V109" s="1"/>
      <c r="W109" s="1"/>
      <c r="X109" s="1"/>
    </row>
    <row r="110" spans="1:24" ht="12.75">
      <c r="A110" s="291" t="s">
        <v>148</v>
      </c>
      <c r="B110" s="293">
        <v>9500000</v>
      </c>
      <c r="C110" s="298">
        <v>0</v>
      </c>
      <c r="D110" s="298">
        <v>0</v>
      </c>
      <c r="E110" s="353">
        <v>0</v>
      </c>
      <c r="F110" s="342"/>
      <c r="G110" s="342"/>
      <c r="H110" s="342"/>
      <c r="I110" s="342"/>
      <c r="J110" s="342"/>
      <c r="K110" s="342"/>
      <c r="L110" s="342"/>
      <c r="M110" s="342"/>
      <c r="N110" s="342"/>
      <c r="O110" s="342"/>
      <c r="P110" s="342"/>
      <c r="Q110" s="1"/>
      <c r="R110" s="1"/>
      <c r="S110" s="1"/>
      <c r="T110" s="1"/>
      <c r="U110" s="1"/>
      <c r="V110" s="1"/>
      <c r="W110" s="1"/>
      <c r="X110" s="1"/>
    </row>
    <row r="111" spans="1:24" ht="12.75">
      <c r="A111" s="291" t="s">
        <v>114</v>
      </c>
      <c r="B111" s="293">
        <v>7516000</v>
      </c>
      <c r="C111" s="298">
        <v>0</v>
      </c>
      <c r="D111" s="298">
        <v>0</v>
      </c>
      <c r="E111" s="353">
        <v>0</v>
      </c>
      <c r="F111" s="342"/>
      <c r="G111" s="342"/>
      <c r="H111" s="342"/>
      <c r="I111" s="342"/>
      <c r="J111" s="342"/>
      <c r="K111" s="342"/>
      <c r="L111" s="342"/>
      <c r="M111" s="342"/>
      <c r="N111" s="342"/>
      <c r="O111" s="342"/>
      <c r="P111" s="342"/>
      <c r="Q111" s="1"/>
      <c r="R111" s="1"/>
      <c r="S111" s="1"/>
      <c r="T111" s="1"/>
      <c r="U111" s="1"/>
      <c r="V111" s="1"/>
      <c r="W111" s="1"/>
      <c r="X111" s="1"/>
    </row>
    <row r="112" spans="1:24" ht="12.75">
      <c r="A112" s="291" t="s">
        <v>43</v>
      </c>
      <c r="B112" s="293">
        <v>10034000</v>
      </c>
      <c r="C112" s="298">
        <v>0</v>
      </c>
      <c r="D112" s="298">
        <v>658871960</v>
      </c>
      <c r="E112" s="298">
        <v>82769.25305</v>
      </c>
      <c r="F112" s="342"/>
      <c r="G112" s="342"/>
      <c r="H112" s="342"/>
      <c r="I112" s="342"/>
      <c r="J112" s="342"/>
      <c r="K112" s="342"/>
      <c r="L112" s="342"/>
      <c r="M112" s="342"/>
      <c r="N112" s="342"/>
      <c r="O112" s="342"/>
      <c r="P112" s="342"/>
      <c r="Q112" s="1"/>
      <c r="R112" s="1"/>
      <c r="S112" s="1"/>
      <c r="T112" s="1"/>
      <c r="U112" s="1"/>
      <c r="V112" s="1"/>
      <c r="W112" s="1"/>
      <c r="X112" s="1"/>
    </row>
    <row r="113" spans="1:24" ht="12.75">
      <c r="A113" s="291" t="s">
        <v>16</v>
      </c>
      <c r="B113" s="293">
        <v>302000</v>
      </c>
      <c r="C113" s="298">
        <v>0</v>
      </c>
      <c r="D113" s="298">
        <v>0</v>
      </c>
      <c r="E113" s="353">
        <v>0</v>
      </c>
      <c r="F113" s="342"/>
      <c r="G113" s="342"/>
      <c r="H113" s="342"/>
      <c r="I113" s="342"/>
      <c r="J113" s="342"/>
      <c r="K113" s="342"/>
      <c r="L113" s="342"/>
      <c r="M113" s="342"/>
      <c r="N113" s="342"/>
      <c r="O113" s="342"/>
      <c r="P113" s="342"/>
      <c r="Q113" s="1"/>
      <c r="R113" s="1"/>
      <c r="S113" s="1"/>
      <c r="T113" s="1"/>
      <c r="U113" s="1"/>
      <c r="V113" s="1"/>
      <c r="W113" s="1"/>
      <c r="X113" s="1"/>
    </row>
    <row r="114" spans="1:24" ht="12.75">
      <c r="A114" s="291" t="s">
        <v>118</v>
      </c>
      <c r="B114" s="293">
        <v>1124135000</v>
      </c>
      <c r="C114" s="298">
        <v>1632645000</v>
      </c>
      <c r="D114" s="298">
        <v>6281832200</v>
      </c>
      <c r="E114" s="298">
        <v>2494792.95671</v>
      </c>
      <c r="F114" s="342"/>
      <c r="G114" s="342"/>
      <c r="H114" s="342"/>
      <c r="I114" s="342"/>
      <c r="J114" s="342"/>
      <c r="K114" s="342"/>
      <c r="L114" s="342"/>
      <c r="M114" s="342"/>
      <c r="N114" s="342"/>
      <c r="O114" s="342"/>
      <c r="P114" s="342"/>
      <c r="Q114" s="1"/>
      <c r="R114" s="1"/>
      <c r="S114" s="1"/>
      <c r="T114" s="1"/>
      <c r="U114" s="1"/>
      <c r="V114" s="1"/>
      <c r="W114" s="1"/>
      <c r="X114" s="1"/>
    </row>
    <row r="115" spans="1:24" ht="12.75">
      <c r="A115" s="291" t="s">
        <v>128</v>
      </c>
      <c r="B115" s="293">
        <v>234694000</v>
      </c>
      <c r="C115" s="298">
        <v>2747720000</v>
      </c>
      <c r="D115" s="298">
        <v>17920243599.999996</v>
      </c>
      <c r="E115" s="298">
        <v>779202.95615</v>
      </c>
      <c r="F115" s="342"/>
      <c r="G115" s="342"/>
      <c r="H115" s="342"/>
      <c r="I115" s="342"/>
      <c r="J115" s="342"/>
      <c r="K115" s="342"/>
      <c r="L115" s="342"/>
      <c r="M115" s="342"/>
      <c r="N115" s="342"/>
      <c r="O115" s="342"/>
      <c r="P115" s="342"/>
      <c r="Q115" s="1"/>
      <c r="R115" s="1"/>
      <c r="S115" s="1"/>
      <c r="T115" s="1"/>
      <c r="U115" s="1"/>
      <c r="V115" s="1"/>
      <c r="W115" s="1"/>
      <c r="X115" s="1"/>
    </row>
    <row r="116" spans="1:24" ht="12.75">
      <c r="A116" s="291" t="s">
        <v>4</v>
      </c>
      <c r="B116" s="293">
        <v>74093000</v>
      </c>
      <c r="C116" s="298">
        <v>8804165000</v>
      </c>
      <c r="D116" s="298">
        <v>26779364499.999996</v>
      </c>
      <c r="E116" s="298">
        <v>8384.1802</v>
      </c>
      <c r="F116" s="342"/>
      <c r="G116" s="342"/>
      <c r="H116" s="342"/>
      <c r="I116" s="342"/>
      <c r="J116" s="342"/>
      <c r="K116" s="342"/>
      <c r="L116" s="342"/>
      <c r="M116" s="342"/>
      <c r="N116" s="342"/>
      <c r="O116" s="342"/>
      <c r="P116" s="342"/>
      <c r="Q116" s="1"/>
      <c r="R116" s="1"/>
      <c r="S116" s="1"/>
      <c r="T116" s="1"/>
      <c r="U116" s="1"/>
      <c r="V116" s="1"/>
      <c r="W116" s="1"/>
      <c r="X116" s="1"/>
    </row>
    <row r="117" spans="1:24" ht="12.75">
      <c r="A117" s="290" t="s">
        <v>143</v>
      </c>
      <c r="B117" s="293">
        <v>27500000</v>
      </c>
      <c r="C117" s="298">
        <v>4547900000</v>
      </c>
      <c r="D117" s="298">
        <v>999414500</v>
      </c>
      <c r="E117" s="353">
        <v>0</v>
      </c>
      <c r="F117" s="342"/>
      <c r="G117" s="342"/>
      <c r="H117" s="342"/>
      <c r="I117" s="342"/>
      <c r="J117" s="342"/>
      <c r="K117" s="342"/>
      <c r="L117" s="342"/>
      <c r="M117" s="342"/>
      <c r="N117" s="342"/>
      <c r="O117" s="342"/>
      <c r="P117" s="342"/>
      <c r="Q117" s="1"/>
      <c r="R117" s="1"/>
      <c r="S117" s="1"/>
      <c r="T117" s="1"/>
      <c r="U117" s="1"/>
      <c r="V117" s="1"/>
      <c r="W117" s="1"/>
      <c r="X117" s="1"/>
    </row>
    <row r="118" spans="1:24" ht="12.75">
      <c r="A118" s="291" t="s">
        <v>53</v>
      </c>
      <c r="B118" s="293">
        <v>4420000</v>
      </c>
      <c r="C118" s="298">
        <v>0</v>
      </c>
      <c r="D118" s="298">
        <v>174420800</v>
      </c>
      <c r="E118" s="353">
        <v>0</v>
      </c>
      <c r="F118" s="342"/>
      <c r="G118" s="342"/>
      <c r="H118" s="342"/>
      <c r="I118" s="342"/>
      <c r="J118" s="342"/>
      <c r="K118" s="342"/>
      <c r="L118" s="342"/>
      <c r="M118" s="342"/>
      <c r="N118" s="342"/>
      <c r="O118" s="342"/>
      <c r="P118" s="342"/>
      <c r="Q118" s="1"/>
      <c r="R118" s="1"/>
      <c r="S118" s="1"/>
      <c r="T118" s="1"/>
      <c r="U118" s="1"/>
      <c r="V118" s="1"/>
      <c r="W118" s="1"/>
      <c r="X118" s="1"/>
    </row>
    <row r="119" spans="1:24" ht="12.75">
      <c r="A119" s="291" t="s">
        <v>5</v>
      </c>
      <c r="B119" s="293">
        <v>6990000</v>
      </c>
      <c r="C119" s="298">
        <v>0</v>
      </c>
      <c r="D119" s="298">
        <v>57563450</v>
      </c>
      <c r="E119" s="353">
        <v>0</v>
      </c>
      <c r="F119" s="342"/>
      <c r="G119" s="342"/>
      <c r="H119" s="342"/>
      <c r="I119" s="342"/>
      <c r="J119" s="342"/>
      <c r="K119" s="342"/>
      <c r="L119" s="342"/>
      <c r="M119" s="342"/>
      <c r="N119" s="342"/>
      <c r="O119" s="342"/>
      <c r="P119" s="342"/>
      <c r="Q119" s="1"/>
      <c r="R119" s="1"/>
      <c r="S119" s="1"/>
      <c r="T119" s="1"/>
      <c r="U119" s="1"/>
      <c r="V119" s="1"/>
      <c r="W119" s="1"/>
      <c r="X119" s="1"/>
    </row>
    <row r="120" spans="1:24" ht="12.75">
      <c r="A120" s="291" t="s">
        <v>31</v>
      </c>
      <c r="B120" s="293">
        <v>58178000</v>
      </c>
      <c r="C120" s="298">
        <v>237980000</v>
      </c>
      <c r="D120" s="298">
        <v>3016430750</v>
      </c>
      <c r="E120" s="298">
        <v>836.65432</v>
      </c>
      <c r="F120" s="342"/>
      <c r="G120" s="342"/>
      <c r="H120" s="342"/>
      <c r="I120" s="342"/>
      <c r="J120" s="342"/>
      <c r="K120" s="342"/>
      <c r="L120" s="342"/>
      <c r="M120" s="342"/>
      <c r="N120" s="342"/>
      <c r="O120" s="342"/>
      <c r="P120" s="342"/>
      <c r="Q120" s="1"/>
      <c r="R120" s="1"/>
      <c r="S120" s="1"/>
      <c r="T120" s="1"/>
      <c r="U120" s="1"/>
      <c r="V120" s="1"/>
      <c r="W120" s="1"/>
      <c r="X120" s="1"/>
    </row>
    <row r="121" spans="1:24" ht="12.75">
      <c r="A121" s="291" t="s">
        <v>90</v>
      </c>
      <c r="B121" s="293">
        <v>2782000</v>
      </c>
      <c r="C121" s="298">
        <v>0</v>
      </c>
      <c r="D121" s="298">
        <v>0</v>
      </c>
      <c r="E121" s="353">
        <v>0</v>
      </c>
      <c r="F121" s="342"/>
      <c r="G121" s="342"/>
      <c r="H121" s="342"/>
      <c r="I121" s="342"/>
      <c r="J121" s="342"/>
      <c r="K121" s="342"/>
      <c r="L121" s="342"/>
      <c r="M121" s="342"/>
      <c r="N121" s="342"/>
      <c r="O121" s="342"/>
      <c r="P121" s="342"/>
      <c r="Q121" s="1"/>
      <c r="R121" s="1"/>
      <c r="S121" s="1"/>
      <c r="T121" s="1"/>
      <c r="U121" s="1"/>
      <c r="V121" s="1"/>
      <c r="W121" s="1"/>
      <c r="X121" s="1"/>
    </row>
    <row r="122" spans="1:24" ht="12.75">
      <c r="A122" s="291" t="s">
        <v>6</v>
      </c>
      <c r="B122" s="293">
        <v>127433000</v>
      </c>
      <c r="C122" s="298">
        <v>0</v>
      </c>
      <c r="D122" s="298">
        <v>1193435130</v>
      </c>
      <c r="E122" s="298">
        <v>6803.46571</v>
      </c>
      <c r="F122" s="342"/>
      <c r="G122" s="342"/>
      <c r="H122" s="342"/>
      <c r="I122" s="342"/>
      <c r="J122" s="342"/>
      <c r="K122" s="342"/>
      <c r="L122" s="342"/>
      <c r="M122" s="342"/>
      <c r="N122" s="342"/>
      <c r="O122" s="342"/>
      <c r="P122" s="342"/>
      <c r="Q122" s="1"/>
      <c r="R122" s="1"/>
      <c r="S122" s="1"/>
      <c r="T122" s="1"/>
      <c r="U122" s="1"/>
      <c r="V122" s="1"/>
      <c r="W122" s="1"/>
      <c r="X122" s="1"/>
    </row>
    <row r="123" spans="1:24" ht="12.75">
      <c r="A123" s="291" t="s">
        <v>98</v>
      </c>
      <c r="B123" s="293">
        <v>5997000</v>
      </c>
      <c r="C123" s="298">
        <v>0</v>
      </c>
      <c r="D123" s="298">
        <v>63213849.99999999</v>
      </c>
      <c r="E123" s="353">
        <v>0</v>
      </c>
      <c r="F123" s="342"/>
      <c r="G123" s="342"/>
      <c r="H123" s="342"/>
      <c r="I123" s="342"/>
      <c r="J123" s="342"/>
      <c r="K123" s="342"/>
      <c r="L123" s="342"/>
      <c r="M123" s="342"/>
      <c r="N123" s="342"/>
      <c r="O123" s="342"/>
      <c r="P123" s="342"/>
      <c r="Q123" s="1"/>
      <c r="R123" s="1"/>
      <c r="S123" s="1"/>
      <c r="T123" s="1"/>
      <c r="U123" s="1"/>
      <c r="V123" s="1"/>
      <c r="W123" s="1"/>
      <c r="X123" s="1"/>
    </row>
    <row r="124" spans="1:24" ht="12.75">
      <c r="A124" s="291" t="s">
        <v>93</v>
      </c>
      <c r="B124" s="293">
        <v>15285000</v>
      </c>
      <c r="C124" s="298">
        <v>2322130000</v>
      </c>
      <c r="D124" s="298">
        <v>3381481890</v>
      </c>
      <c r="E124" s="298">
        <v>539951.78711</v>
      </c>
      <c r="F124" s="342"/>
      <c r="G124" s="342"/>
      <c r="H124" s="342"/>
      <c r="I124" s="342"/>
      <c r="J124" s="342"/>
      <c r="K124" s="342"/>
      <c r="L124" s="342"/>
      <c r="M124" s="342"/>
      <c r="N124" s="342"/>
      <c r="O124" s="342"/>
      <c r="P124" s="342"/>
      <c r="Q124" s="1"/>
      <c r="R124" s="1"/>
      <c r="S124" s="1"/>
      <c r="T124" s="1"/>
      <c r="U124" s="1"/>
      <c r="V124" s="1"/>
      <c r="W124" s="1"/>
      <c r="X124" s="1"/>
    </row>
    <row r="125" spans="1:24" ht="12.75">
      <c r="A125" s="291" t="s">
        <v>107</v>
      </c>
      <c r="B125" s="293">
        <v>36914000</v>
      </c>
      <c r="C125" s="298">
        <v>0</v>
      </c>
      <c r="D125" s="298">
        <v>0</v>
      </c>
      <c r="E125" s="353">
        <v>0</v>
      </c>
      <c r="F125" s="342"/>
      <c r="G125" s="342"/>
      <c r="H125" s="342"/>
      <c r="I125" s="342"/>
      <c r="J125" s="342"/>
      <c r="K125" s="342"/>
      <c r="L125" s="342"/>
      <c r="M125" s="342"/>
      <c r="N125" s="342"/>
      <c r="O125" s="342"/>
      <c r="P125" s="342"/>
      <c r="Q125" s="1"/>
      <c r="R125" s="1"/>
      <c r="S125" s="1"/>
      <c r="T125" s="1"/>
      <c r="U125" s="1"/>
      <c r="V125" s="1"/>
      <c r="W125" s="1"/>
      <c r="X125" s="1"/>
    </row>
    <row r="126" spans="1:24" ht="12.75">
      <c r="A126" s="291" t="s">
        <v>183</v>
      </c>
      <c r="B126" s="293">
        <v>95000</v>
      </c>
      <c r="C126" s="298">
        <v>0</v>
      </c>
      <c r="D126" s="298">
        <v>0</v>
      </c>
      <c r="E126" s="353">
        <v>0</v>
      </c>
      <c r="F126" s="342"/>
      <c r="G126" s="342"/>
      <c r="H126" s="342"/>
      <c r="I126" s="342"/>
      <c r="J126" s="342"/>
      <c r="K126" s="342"/>
      <c r="L126" s="342"/>
      <c r="M126" s="342"/>
      <c r="N126" s="342"/>
      <c r="O126" s="342"/>
      <c r="P126" s="342"/>
      <c r="Q126" s="1"/>
      <c r="R126" s="1"/>
      <c r="S126" s="1"/>
      <c r="T126" s="1"/>
      <c r="U126" s="1"/>
      <c r="V126" s="1"/>
      <c r="W126" s="1"/>
      <c r="X126" s="1"/>
    </row>
    <row r="127" spans="1:24" ht="12.75">
      <c r="A127" s="291" t="s">
        <v>7</v>
      </c>
      <c r="B127" s="293">
        <v>2507000</v>
      </c>
      <c r="C127" s="298">
        <v>5026415000</v>
      </c>
      <c r="D127" s="298">
        <v>2443798000</v>
      </c>
      <c r="E127" s="353">
        <v>0</v>
      </c>
      <c r="F127" s="342"/>
      <c r="G127" s="342"/>
      <c r="H127" s="342"/>
      <c r="I127" s="342"/>
      <c r="J127" s="342"/>
      <c r="K127" s="342"/>
      <c r="L127" s="342"/>
      <c r="M127" s="342"/>
      <c r="N127" s="342"/>
      <c r="O127" s="342"/>
      <c r="P127" s="342"/>
      <c r="Q127" s="1"/>
      <c r="R127" s="1"/>
      <c r="S127" s="1"/>
      <c r="T127" s="1"/>
      <c r="U127" s="1"/>
      <c r="V127" s="1"/>
      <c r="W127" s="1"/>
      <c r="X127" s="1"/>
    </row>
    <row r="128" spans="1:24" ht="12.75">
      <c r="A128" s="291" t="s">
        <v>82</v>
      </c>
      <c r="B128" s="293">
        <v>5284000</v>
      </c>
      <c r="C128" s="298">
        <v>0</v>
      </c>
      <c r="D128" s="298">
        <v>4414390</v>
      </c>
      <c r="E128" s="298">
        <v>2825.2240300000003</v>
      </c>
      <c r="F128" s="342"/>
      <c r="G128" s="342"/>
      <c r="H128" s="342"/>
      <c r="I128" s="342"/>
      <c r="J128" s="342"/>
      <c r="K128" s="342"/>
      <c r="L128" s="342"/>
      <c r="M128" s="342"/>
      <c r="N128" s="342"/>
      <c r="O128" s="342"/>
      <c r="P128" s="342"/>
      <c r="Q128" s="1"/>
      <c r="R128" s="1"/>
      <c r="S128" s="1"/>
      <c r="T128" s="1"/>
      <c r="U128" s="1"/>
      <c r="V128" s="1"/>
      <c r="W128" s="1"/>
      <c r="X128" s="1"/>
    </row>
    <row r="129" spans="1:24" ht="12.75">
      <c r="A129" s="291" t="s">
        <v>83</v>
      </c>
      <c r="B129" s="293">
        <v>6035000</v>
      </c>
      <c r="C129" s="298">
        <v>0</v>
      </c>
      <c r="D129" s="298">
        <v>0</v>
      </c>
      <c r="E129" s="298">
        <v>3567.0795599999997</v>
      </c>
      <c r="F129" s="342"/>
      <c r="G129" s="342"/>
      <c r="H129" s="342"/>
      <c r="I129" s="342"/>
      <c r="J129" s="342"/>
      <c r="K129" s="342"/>
      <c r="L129" s="342"/>
      <c r="M129" s="342"/>
      <c r="N129" s="342"/>
      <c r="O129" s="342"/>
      <c r="P129" s="342"/>
      <c r="Q129" s="1"/>
      <c r="R129" s="1"/>
      <c r="S129" s="1"/>
      <c r="T129" s="1"/>
      <c r="U129" s="1"/>
      <c r="V129" s="1"/>
      <c r="W129" s="1"/>
      <c r="X129" s="1"/>
    </row>
    <row r="130" spans="1:24" ht="12.75">
      <c r="A130" s="291" t="s">
        <v>33</v>
      </c>
      <c r="B130" s="293">
        <v>2260000</v>
      </c>
      <c r="C130" s="298">
        <v>0</v>
      </c>
      <c r="D130" s="298">
        <v>0</v>
      </c>
      <c r="E130" s="353">
        <v>0</v>
      </c>
      <c r="F130" s="342"/>
      <c r="G130" s="342"/>
      <c r="H130" s="342"/>
      <c r="I130" s="342"/>
      <c r="J130" s="342"/>
      <c r="K130" s="342"/>
      <c r="L130" s="342"/>
      <c r="M130" s="342"/>
      <c r="N130" s="342"/>
      <c r="O130" s="342"/>
      <c r="P130" s="342"/>
      <c r="Q130" s="1"/>
      <c r="R130" s="1"/>
      <c r="S130" s="1"/>
      <c r="T130" s="1"/>
      <c r="U130" s="1"/>
      <c r="V130" s="1"/>
      <c r="W130" s="1"/>
      <c r="X130" s="1"/>
    </row>
    <row r="131" spans="1:24" ht="12.75">
      <c r="A131" s="291" t="s">
        <v>91</v>
      </c>
      <c r="B131" s="293">
        <v>3896000</v>
      </c>
      <c r="C131" s="298">
        <v>0</v>
      </c>
      <c r="D131" s="298">
        <v>0</v>
      </c>
      <c r="E131" s="353">
        <v>0</v>
      </c>
      <c r="F131" s="342"/>
      <c r="G131" s="342"/>
      <c r="H131" s="342"/>
      <c r="I131" s="342"/>
      <c r="J131" s="342"/>
      <c r="K131" s="342"/>
      <c r="L131" s="342"/>
      <c r="M131" s="342"/>
      <c r="N131" s="342"/>
      <c r="O131" s="342"/>
      <c r="P131" s="342"/>
      <c r="Q131" s="1"/>
      <c r="R131" s="1"/>
      <c r="S131" s="1"/>
      <c r="T131" s="1"/>
      <c r="U131" s="1"/>
      <c r="V131" s="1"/>
      <c r="W131" s="1"/>
      <c r="X131" s="1"/>
    </row>
    <row r="132" spans="1:24" ht="12.75">
      <c r="A132" s="291" t="s">
        <v>184</v>
      </c>
      <c r="B132" s="293">
        <v>3270000</v>
      </c>
      <c r="C132" s="298">
        <v>0</v>
      </c>
      <c r="D132" s="298">
        <v>0</v>
      </c>
      <c r="E132" s="353">
        <v>0</v>
      </c>
      <c r="F132" s="342"/>
      <c r="G132" s="342"/>
      <c r="H132" s="342"/>
      <c r="I132" s="342"/>
      <c r="J132" s="342"/>
      <c r="K132" s="342"/>
      <c r="L132" s="342"/>
      <c r="M132" s="342"/>
      <c r="N132" s="342"/>
      <c r="O132" s="342"/>
      <c r="P132" s="342"/>
      <c r="Q132" s="1"/>
      <c r="R132" s="1"/>
      <c r="S132" s="1"/>
      <c r="T132" s="1"/>
      <c r="U132" s="1"/>
      <c r="V132" s="1"/>
      <c r="W132" s="1"/>
      <c r="X132" s="1"/>
    </row>
    <row r="133" spans="1:24" ht="12.75">
      <c r="A133" s="291" t="s">
        <v>268</v>
      </c>
      <c r="B133" s="293">
        <v>6050000</v>
      </c>
      <c r="C133" s="298">
        <v>3332450000</v>
      </c>
      <c r="D133" s="298">
        <v>2820255900</v>
      </c>
      <c r="E133" s="353">
        <v>0</v>
      </c>
      <c r="F133" s="342"/>
      <c r="G133" s="342"/>
      <c r="H133" s="342"/>
      <c r="I133" s="342"/>
      <c r="J133" s="342"/>
      <c r="K133" s="342"/>
      <c r="L133" s="342"/>
      <c r="M133" s="342"/>
      <c r="N133" s="342"/>
      <c r="O133" s="342"/>
      <c r="P133" s="342"/>
      <c r="Q133" s="1"/>
      <c r="R133" s="1"/>
      <c r="S133" s="1"/>
      <c r="T133" s="1"/>
      <c r="U133" s="1"/>
      <c r="V133" s="1"/>
      <c r="W133" s="1"/>
      <c r="X133" s="1"/>
    </row>
    <row r="134" spans="1:24" ht="12.75">
      <c r="A134" s="291" t="s">
        <v>47</v>
      </c>
      <c r="B134" s="293">
        <v>3575000</v>
      </c>
      <c r="C134" s="298">
        <v>0</v>
      </c>
      <c r="D134" s="298">
        <v>0</v>
      </c>
      <c r="E134" s="353">
        <v>0</v>
      </c>
      <c r="F134" s="342"/>
      <c r="G134" s="342"/>
      <c r="H134" s="342"/>
      <c r="I134" s="342"/>
      <c r="J134" s="342"/>
      <c r="K134" s="342"/>
      <c r="L134" s="342"/>
      <c r="M134" s="342"/>
      <c r="N134" s="342"/>
      <c r="O134" s="342"/>
      <c r="P134" s="342"/>
      <c r="Q134" s="1"/>
      <c r="R134" s="1"/>
      <c r="S134" s="1"/>
      <c r="T134" s="1"/>
      <c r="U134" s="1"/>
      <c r="V134" s="1"/>
      <c r="W134" s="1"/>
      <c r="X134" s="1"/>
    </row>
    <row r="135" spans="1:24" ht="12.75">
      <c r="A135" s="291" t="s">
        <v>8</v>
      </c>
      <c r="B135" s="293">
        <v>480000</v>
      </c>
      <c r="C135" s="298">
        <v>0</v>
      </c>
      <c r="D135" s="298">
        <v>0</v>
      </c>
      <c r="E135" s="353">
        <v>0</v>
      </c>
      <c r="F135" s="342"/>
      <c r="G135" s="342"/>
      <c r="H135" s="342"/>
      <c r="I135" s="342"/>
      <c r="J135" s="342"/>
      <c r="K135" s="342"/>
      <c r="L135" s="342"/>
      <c r="M135" s="342"/>
      <c r="N135" s="342"/>
      <c r="O135" s="342"/>
      <c r="P135" s="342"/>
      <c r="Q135" s="1"/>
      <c r="R135" s="1"/>
      <c r="S135" s="1"/>
      <c r="T135" s="1"/>
      <c r="U135" s="1"/>
      <c r="V135" s="1"/>
      <c r="W135" s="1"/>
      <c r="X135" s="1"/>
    </row>
    <row r="136" spans="1:24" ht="12.75">
      <c r="A136" s="291" t="s">
        <v>77</v>
      </c>
      <c r="B136" s="293">
        <v>2056000</v>
      </c>
      <c r="C136" s="298">
        <v>0</v>
      </c>
      <c r="D136" s="298">
        <v>0</v>
      </c>
      <c r="E136" s="298">
        <v>49284.34088999999</v>
      </c>
      <c r="F136" s="342"/>
      <c r="G136" s="342"/>
      <c r="H136" s="342"/>
      <c r="I136" s="342"/>
      <c r="J136" s="342"/>
      <c r="K136" s="342"/>
      <c r="L136" s="342"/>
      <c r="M136" s="342"/>
      <c r="N136" s="342"/>
      <c r="O136" s="342"/>
      <c r="P136" s="342"/>
      <c r="Q136" s="1"/>
      <c r="R136" s="1"/>
      <c r="S136" s="1"/>
      <c r="T136" s="1"/>
      <c r="U136" s="1"/>
      <c r="V136" s="1"/>
      <c r="W136" s="1"/>
      <c r="X136" s="1"/>
    </row>
    <row r="137" spans="1:24" ht="12.75">
      <c r="A137" s="291" t="s">
        <v>116</v>
      </c>
      <c r="B137" s="293">
        <v>19449000</v>
      </c>
      <c r="C137" s="298">
        <v>0</v>
      </c>
      <c r="D137" s="298">
        <v>0</v>
      </c>
      <c r="E137" s="353">
        <v>0</v>
      </c>
      <c r="F137" s="342"/>
      <c r="G137" s="342"/>
      <c r="H137" s="342"/>
      <c r="I137" s="342"/>
      <c r="J137" s="342"/>
      <c r="K137" s="342"/>
      <c r="L137" s="342"/>
      <c r="M137" s="342"/>
      <c r="N137" s="342"/>
      <c r="O137" s="342"/>
      <c r="P137" s="342"/>
      <c r="Q137" s="1"/>
      <c r="R137" s="1"/>
      <c r="S137" s="1"/>
      <c r="T137" s="1"/>
      <c r="U137" s="1"/>
      <c r="V137" s="1"/>
      <c r="W137" s="1"/>
      <c r="X137" s="1"/>
    </row>
    <row r="138" spans="1:24" ht="12.75">
      <c r="A138" s="291" t="s">
        <v>106</v>
      </c>
      <c r="B138" s="293">
        <v>14233000</v>
      </c>
      <c r="C138" s="298">
        <v>0</v>
      </c>
      <c r="D138" s="298">
        <v>23570996750</v>
      </c>
      <c r="E138" s="298">
        <v>403.44597</v>
      </c>
      <c r="F138" s="342"/>
      <c r="G138" s="342"/>
      <c r="H138" s="342"/>
      <c r="I138" s="342"/>
      <c r="J138" s="342"/>
      <c r="K138" s="342"/>
      <c r="L138" s="342"/>
      <c r="M138" s="342"/>
      <c r="N138" s="342"/>
      <c r="O138" s="342"/>
      <c r="P138" s="342"/>
      <c r="Q138" s="1"/>
      <c r="R138" s="1"/>
      <c r="S138" s="1"/>
      <c r="T138" s="1"/>
      <c r="U138" s="1"/>
      <c r="V138" s="1"/>
      <c r="W138" s="1"/>
      <c r="X138" s="1"/>
    </row>
    <row r="139" spans="1:24" ht="12.75">
      <c r="A139" s="291" t="s">
        <v>9</v>
      </c>
      <c r="B139" s="293">
        <v>26896000</v>
      </c>
      <c r="C139" s="298">
        <v>1656735000</v>
      </c>
      <c r="D139" s="298">
        <v>13764374399.999998</v>
      </c>
      <c r="E139" s="298">
        <v>2739.83127</v>
      </c>
      <c r="F139" s="342"/>
      <c r="G139" s="342"/>
      <c r="H139" s="342"/>
      <c r="I139" s="342"/>
      <c r="J139" s="342"/>
      <c r="K139" s="342"/>
      <c r="L139" s="342"/>
      <c r="M139" s="342"/>
      <c r="N139" s="342"/>
      <c r="O139" s="342"/>
      <c r="P139" s="342"/>
      <c r="Q139" s="1"/>
      <c r="R139" s="1"/>
      <c r="S139" s="1"/>
      <c r="T139" s="1"/>
      <c r="U139" s="1"/>
      <c r="V139" s="1"/>
      <c r="W139" s="1"/>
      <c r="X139" s="1"/>
    </row>
    <row r="140" spans="1:24" ht="12.75">
      <c r="A140" s="291" t="s">
        <v>56</v>
      </c>
      <c r="B140" s="293">
        <v>365000</v>
      </c>
      <c r="C140" s="298">
        <v>0</v>
      </c>
      <c r="D140" s="298">
        <v>0</v>
      </c>
      <c r="E140" s="353">
        <v>0</v>
      </c>
      <c r="F140" s="342"/>
      <c r="G140" s="342"/>
      <c r="H140" s="342"/>
      <c r="I140" s="342"/>
      <c r="J140" s="342"/>
      <c r="K140" s="342"/>
      <c r="L140" s="342"/>
      <c r="M140" s="342"/>
      <c r="N140" s="342"/>
      <c r="O140" s="342"/>
      <c r="P140" s="342"/>
      <c r="Q140" s="1"/>
      <c r="R140" s="1"/>
      <c r="S140" s="1"/>
      <c r="T140" s="1"/>
      <c r="U140" s="1"/>
      <c r="V140" s="1"/>
      <c r="W140" s="1"/>
      <c r="X140" s="1"/>
    </row>
    <row r="141" spans="1:24" ht="12.75">
      <c r="A141" s="291" t="s">
        <v>149</v>
      </c>
      <c r="B141" s="293">
        <v>12769000</v>
      </c>
      <c r="C141" s="298">
        <v>0</v>
      </c>
      <c r="D141" s="298">
        <v>0</v>
      </c>
      <c r="E141" s="353">
        <v>0</v>
      </c>
      <c r="F141" s="342"/>
      <c r="G141" s="342"/>
      <c r="H141" s="342"/>
      <c r="I141" s="342"/>
      <c r="J141" s="342"/>
      <c r="K141" s="342"/>
      <c r="L141" s="342"/>
      <c r="M141" s="342"/>
      <c r="N141" s="342"/>
      <c r="O141" s="342"/>
      <c r="P141" s="342"/>
      <c r="Q141" s="1"/>
      <c r="R141" s="1"/>
      <c r="S141" s="1"/>
      <c r="T141" s="1"/>
      <c r="U141" s="1"/>
      <c r="V141" s="1"/>
      <c r="W141" s="1"/>
      <c r="X141" s="1"/>
    </row>
    <row r="142" spans="1:24" ht="12.75">
      <c r="A142" s="291" t="s">
        <v>26</v>
      </c>
      <c r="B142" s="293">
        <v>402000</v>
      </c>
      <c r="C142" s="298">
        <v>0</v>
      </c>
      <c r="D142" s="298">
        <v>0</v>
      </c>
      <c r="E142" s="353">
        <v>0</v>
      </c>
      <c r="F142" s="342"/>
      <c r="G142" s="342"/>
      <c r="H142" s="342"/>
      <c r="I142" s="342"/>
      <c r="J142" s="342"/>
      <c r="K142" s="342"/>
      <c r="L142" s="342"/>
      <c r="M142" s="342"/>
      <c r="N142" s="342"/>
      <c r="O142" s="342"/>
      <c r="P142" s="342"/>
      <c r="Q142" s="1"/>
      <c r="R142" s="1"/>
      <c r="S142" s="1"/>
      <c r="T142" s="1"/>
      <c r="U142" s="1"/>
      <c r="V142" s="1"/>
      <c r="W142" s="1"/>
      <c r="X142" s="1"/>
    </row>
    <row r="143" spans="1:24" ht="12.75">
      <c r="A143" s="291" t="s">
        <v>169</v>
      </c>
      <c r="B143" s="293">
        <v>426000</v>
      </c>
      <c r="C143" s="298">
        <v>0</v>
      </c>
      <c r="D143" s="298">
        <v>0</v>
      </c>
      <c r="E143" s="353">
        <v>0</v>
      </c>
      <c r="F143" s="342"/>
      <c r="G143" s="342"/>
      <c r="H143" s="342"/>
      <c r="I143" s="342"/>
      <c r="J143" s="342"/>
      <c r="K143" s="342"/>
      <c r="L143" s="342"/>
      <c r="M143" s="342"/>
      <c r="N143" s="342"/>
      <c r="O143" s="342"/>
      <c r="P143" s="342"/>
      <c r="Q143" s="1"/>
      <c r="R143" s="1"/>
      <c r="S143" s="1"/>
      <c r="T143" s="1"/>
      <c r="U143" s="1"/>
      <c r="V143" s="1"/>
      <c r="W143" s="1"/>
      <c r="X143" s="1"/>
    </row>
    <row r="144" spans="1:24" ht="12.75">
      <c r="A144" s="291" t="s">
        <v>153</v>
      </c>
      <c r="B144" s="293">
        <v>2981000</v>
      </c>
      <c r="C144" s="298">
        <v>0</v>
      </c>
      <c r="D144" s="298">
        <v>0</v>
      </c>
      <c r="E144" s="353">
        <v>0</v>
      </c>
      <c r="F144" s="342"/>
      <c r="G144" s="342"/>
      <c r="H144" s="342"/>
      <c r="I144" s="342"/>
      <c r="J144" s="342"/>
      <c r="K144" s="342"/>
      <c r="L144" s="342"/>
      <c r="M144" s="342"/>
      <c r="N144" s="342"/>
      <c r="O144" s="342"/>
      <c r="P144" s="342"/>
      <c r="Q144" s="1"/>
      <c r="R144" s="1"/>
      <c r="S144" s="1"/>
      <c r="T144" s="1"/>
      <c r="U144" s="1"/>
      <c r="V144" s="1"/>
      <c r="W144" s="1"/>
      <c r="X144" s="1"/>
    </row>
    <row r="145" spans="1:24" ht="12.75">
      <c r="A145" s="291" t="s">
        <v>21</v>
      </c>
      <c r="B145" s="293">
        <v>1264000</v>
      </c>
      <c r="C145" s="298">
        <v>0</v>
      </c>
      <c r="D145" s="298">
        <v>0</v>
      </c>
      <c r="E145" s="353">
        <v>0</v>
      </c>
      <c r="F145" s="342"/>
      <c r="G145" s="342"/>
      <c r="H145" s="342"/>
      <c r="I145" s="342"/>
      <c r="J145" s="342"/>
      <c r="K145" s="342"/>
      <c r="L145" s="342"/>
      <c r="M145" s="342"/>
      <c r="N145" s="342"/>
      <c r="O145" s="342"/>
      <c r="P145" s="342"/>
      <c r="Q145" s="1"/>
      <c r="R145" s="1"/>
      <c r="S145" s="1"/>
      <c r="T145" s="1"/>
      <c r="U145" s="1"/>
      <c r="V145" s="1"/>
      <c r="W145" s="1"/>
      <c r="X145" s="1"/>
    </row>
    <row r="146" spans="1:24" ht="12.75">
      <c r="A146" s="291" t="s">
        <v>52</v>
      </c>
      <c r="B146" s="293">
        <v>108701000</v>
      </c>
      <c r="C146" s="298">
        <v>8018320000</v>
      </c>
      <c r="D146" s="298">
        <v>9030751810</v>
      </c>
      <c r="E146" s="298">
        <v>70447.61665999999</v>
      </c>
      <c r="F146" s="342"/>
      <c r="G146" s="342"/>
      <c r="H146" s="342"/>
      <c r="I146" s="342"/>
      <c r="J146" s="342"/>
      <c r="K146" s="342"/>
      <c r="L146" s="342"/>
      <c r="M146" s="342"/>
      <c r="N146" s="342"/>
      <c r="O146" s="342"/>
      <c r="P146" s="342"/>
      <c r="Q146" s="1"/>
      <c r="R146" s="1"/>
      <c r="S146" s="1"/>
      <c r="T146" s="1"/>
      <c r="U146" s="1"/>
      <c r="V146" s="1"/>
      <c r="W146" s="1"/>
      <c r="X146" s="1"/>
    </row>
    <row r="147" spans="1:24" ht="12.75">
      <c r="A147" s="291" t="s">
        <v>88</v>
      </c>
      <c r="B147" s="293">
        <v>4329000</v>
      </c>
      <c r="C147" s="298">
        <v>0</v>
      </c>
      <c r="D147" s="298">
        <v>0</v>
      </c>
      <c r="E147" s="353">
        <v>0</v>
      </c>
      <c r="F147" s="342"/>
      <c r="G147" s="342"/>
      <c r="H147" s="342"/>
      <c r="I147" s="342"/>
      <c r="J147" s="342"/>
      <c r="K147" s="342"/>
      <c r="L147" s="342"/>
      <c r="M147" s="342"/>
      <c r="N147" s="342"/>
      <c r="O147" s="342"/>
      <c r="P147" s="342"/>
      <c r="Q147" s="1"/>
      <c r="R147" s="1"/>
      <c r="S147" s="1"/>
      <c r="T147" s="1"/>
      <c r="U147" s="1"/>
      <c r="V147" s="1"/>
      <c r="W147" s="1"/>
      <c r="X147" s="1"/>
    </row>
    <row r="148" spans="1:24" ht="12.75">
      <c r="A148" s="291" t="s">
        <v>136</v>
      </c>
      <c r="B148" s="293">
        <v>2952000</v>
      </c>
      <c r="C148" s="298">
        <v>0</v>
      </c>
      <c r="D148" s="298">
        <v>0</v>
      </c>
      <c r="E148" s="298">
        <v>37594.32892</v>
      </c>
      <c r="F148" s="342"/>
      <c r="G148" s="342"/>
      <c r="H148" s="342"/>
      <c r="I148" s="342"/>
      <c r="J148" s="342"/>
      <c r="K148" s="342"/>
      <c r="L148" s="342"/>
      <c r="M148" s="342"/>
      <c r="N148" s="342"/>
      <c r="O148" s="342"/>
      <c r="P148" s="342"/>
      <c r="Q148" s="1"/>
      <c r="R148" s="1"/>
      <c r="S148" s="1"/>
      <c r="T148" s="1"/>
      <c r="U148" s="1"/>
      <c r="V148" s="1"/>
      <c r="W148" s="1"/>
      <c r="X148" s="1"/>
    </row>
    <row r="149" spans="1:24" ht="12.75">
      <c r="A149" s="291" t="s">
        <v>239</v>
      </c>
      <c r="B149" s="293">
        <v>685000</v>
      </c>
      <c r="C149" s="298">
        <v>0</v>
      </c>
      <c r="D149" s="298">
        <v>0</v>
      </c>
      <c r="E149" s="298">
        <v>9186.022457194622</v>
      </c>
      <c r="F149" s="342"/>
      <c r="G149" s="342"/>
      <c r="H149" s="342"/>
      <c r="I149" s="342"/>
      <c r="J149" s="342"/>
      <c r="K149" s="342"/>
      <c r="L149" s="342"/>
      <c r="M149" s="342"/>
      <c r="N149" s="342"/>
      <c r="O149" s="342"/>
      <c r="P149" s="342"/>
      <c r="Q149" s="1"/>
      <c r="R149" s="1"/>
      <c r="S149" s="1"/>
      <c r="T149" s="1"/>
      <c r="U149" s="1"/>
      <c r="V149" s="1"/>
      <c r="W149" s="1"/>
      <c r="X149" s="1"/>
    </row>
    <row r="150" spans="1:24" ht="12.75">
      <c r="A150" s="291" t="s">
        <v>60</v>
      </c>
      <c r="B150" s="293">
        <v>30594000</v>
      </c>
      <c r="C150" s="298">
        <v>0</v>
      </c>
      <c r="D150" s="298">
        <v>10594500</v>
      </c>
      <c r="E150" s="298">
        <v>112.43576</v>
      </c>
      <c r="F150" s="342"/>
      <c r="G150" s="342"/>
      <c r="H150" s="342"/>
      <c r="I150" s="342"/>
      <c r="J150" s="342"/>
      <c r="K150" s="342"/>
      <c r="L150" s="342"/>
      <c r="M150" s="342"/>
      <c r="N150" s="342"/>
      <c r="O150" s="342"/>
      <c r="P150" s="342"/>
      <c r="Q150" s="1"/>
      <c r="R150" s="1"/>
      <c r="S150" s="1"/>
      <c r="T150" s="1"/>
      <c r="U150" s="1"/>
      <c r="V150" s="1"/>
      <c r="W150" s="1"/>
      <c r="X150" s="1"/>
    </row>
    <row r="151" spans="1:24" ht="12.75">
      <c r="A151" s="291" t="s">
        <v>110</v>
      </c>
      <c r="B151" s="293">
        <v>20906000</v>
      </c>
      <c r="C151" s="298">
        <v>0</v>
      </c>
      <c r="D151" s="298">
        <v>19070100</v>
      </c>
      <c r="E151" s="298">
        <v>159.83514</v>
      </c>
      <c r="F151" s="342"/>
      <c r="G151" s="342"/>
      <c r="H151" s="342"/>
      <c r="I151" s="342"/>
      <c r="J151" s="342"/>
      <c r="K151" s="342"/>
      <c r="L151" s="342"/>
      <c r="M151" s="342"/>
      <c r="N151" s="342"/>
      <c r="O151" s="342"/>
      <c r="P151" s="342"/>
      <c r="Q151" s="1"/>
      <c r="R151" s="1"/>
      <c r="S151" s="1"/>
      <c r="T151" s="1"/>
      <c r="U151" s="1"/>
      <c r="V151" s="1"/>
      <c r="W151" s="1"/>
      <c r="X151" s="1"/>
    </row>
    <row r="152" spans="1:24" ht="12.75">
      <c r="A152" s="291" t="s">
        <v>270</v>
      </c>
      <c r="B152" s="293">
        <v>51756000</v>
      </c>
      <c r="C152" s="298">
        <v>0</v>
      </c>
      <c r="D152" s="298">
        <v>1926786400.0000002</v>
      </c>
      <c r="E152" s="298">
        <v>5383.688679999999</v>
      </c>
      <c r="F152" s="342"/>
      <c r="G152" s="342"/>
      <c r="H152" s="342"/>
      <c r="I152" s="342"/>
      <c r="J152" s="342"/>
      <c r="K152" s="342"/>
      <c r="L152" s="342"/>
      <c r="M152" s="342"/>
      <c r="N152" s="342"/>
      <c r="O152" s="342"/>
      <c r="P152" s="342"/>
      <c r="Q152" s="1"/>
      <c r="R152" s="1"/>
      <c r="S152" s="1"/>
      <c r="T152" s="1"/>
      <c r="U152" s="1"/>
      <c r="V152" s="1"/>
      <c r="W152" s="1"/>
      <c r="X152" s="1"/>
    </row>
    <row r="153" spans="1:24" ht="12.75">
      <c r="A153" s="291" t="s">
        <v>84</v>
      </c>
      <c r="B153" s="293">
        <v>2069000</v>
      </c>
      <c r="C153" s="298">
        <v>0</v>
      </c>
      <c r="D153" s="298">
        <v>0</v>
      </c>
      <c r="E153" s="353">
        <v>0</v>
      </c>
      <c r="F153" s="342"/>
      <c r="G153" s="342"/>
      <c r="H153" s="342"/>
      <c r="I153" s="342"/>
      <c r="J153" s="342"/>
      <c r="K153" s="342"/>
      <c r="L153" s="342"/>
      <c r="M153" s="342"/>
      <c r="N153" s="342"/>
      <c r="O153" s="342"/>
      <c r="P153" s="342"/>
      <c r="Q153" s="1"/>
      <c r="R153" s="1"/>
      <c r="S153" s="1"/>
      <c r="T153" s="1"/>
      <c r="U153" s="1"/>
      <c r="V153" s="1"/>
      <c r="W153" s="1"/>
      <c r="X153" s="1"/>
    </row>
    <row r="154" spans="1:24" ht="12.75">
      <c r="A154" s="291" t="s">
        <v>48</v>
      </c>
      <c r="B154" s="293">
        <v>27828000</v>
      </c>
      <c r="C154" s="298">
        <v>0</v>
      </c>
      <c r="D154" s="298">
        <v>0</v>
      </c>
      <c r="E154" s="298">
        <v>78.2641</v>
      </c>
      <c r="F154" s="342"/>
      <c r="G154" s="342"/>
      <c r="H154" s="342"/>
      <c r="I154" s="342"/>
      <c r="J154" s="342"/>
      <c r="K154" s="342"/>
      <c r="L154" s="342"/>
      <c r="M154" s="342"/>
      <c r="N154" s="342"/>
      <c r="O154" s="342"/>
      <c r="P154" s="342"/>
      <c r="Q154" s="1"/>
      <c r="R154" s="1"/>
      <c r="S154" s="1"/>
      <c r="T154" s="1"/>
      <c r="U154" s="1"/>
      <c r="V154" s="1"/>
      <c r="W154" s="1"/>
      <c r="X154" s="1"/>
    </row>
    <row r="155" spans="1:24" ht="12.75">
      <c r="A155" s="291" t="s">
        <v>55</v>
      </c>
      <c r="B155" s="293">
        <v>16571000</v>
      </c>
      <c r="C155" s="298">
        <v>0</v>
      </c>
      <c r="D155" s="298">
        <v>16386301280</v>
      </c>
      <c r="E155" s="353">
        <v>0</v>
      </c>
      <c r="F155" s="342"/>
      <c r="G155" s="342"/>
      <c r="H155" s="342"/>
      <c r="I155" s="342"/>
      <c r="J155" s="342"/>
      <c r="K155" s="342"/>
      <c r="L155" s="342"/>
      <c r="M155" s="342"/>
      <c r="N155" s="342"/>
      <c r="O155" s="342"/>
      <c r="P155" s="342"/>
      <c r="Q155" s="1"/>
      <c r="R155" s="1"/>
      <c r="S155" s="1"/>
      <c r="T155" s="1"/>
      <c r="U155" s="1"/>
      <c r="V155" s="1"/>
      <c r="W155" s="1"/>
      <c r="X155" s="1"/>
    </row>
    <row r="156" spans="1:24" ht="12.75">
      <c r="A156" s="291" t="s">
        <v>159</v>
      </c>
      <c r="B156" s="293">
        <v>224000</v>
      </c>
      <c r="C156" s="298">
        <v>0</v>
      </c>
      <c r="D156" s="298">
        <v>0</v>
      </c>
      <c r="E156" s="353">
        <v>0</v>
      </c>
      <c r="F156" s="342"/>
      <c r="G156" s="342"/>
      <c r="H156" s="342"/>
      <c r="I156" s="342"/>
      <c r="J156" s="342"/>
      <c r="K156" s="342"/>
      <c r="L156" s="342"/>
      <c r="M156" s="342"/>
      <c r="N156" s="342"/>
      <c r="O156" s="342"/>
      <c r="P156" s="342"/>
      <c r="Q156" s="1"/>
      <c r="R156" s="1"/>
      <c r="S156" s="1"/>
      <c r="T156" s="1"/>
      <c r="U156" s="1"/>
      <c r="V156" s="1"/>
      <c r="W156" s="1"/>
      <c r="X156" s="1"/>
    </row>
    <row r="157" spans="1:24" ht="12.75">
      <c r="A157" s="291" t="s">
        <v>162</v>
      </c>
      <c r="B157" s="293">
        <v>240000</v>
      </c>
      <c r="C157" s="298">
        <v>0</v>
      </c>
      <c r="D157" s="298">
        <v>0</v>
      </c>
      <c r="E157" s="353">
        <v>0</v>
      </c>
      <c r="F157" s="342"/>
      <c r="G157" s="342"/>
      <c r="H157" s="342"/>
      <c r="I157" s="342"/>
      <c r="J157" s="342"/>
      <c r="K157" s="342"/>
      <c r="L157" s="342"/>
      <c r="M157" s="342"/>
      <c r="N157" s="342"/>
      <c r="O157" s="342"/>
      <c r="P157" s="342"/>
      <c r="Q157" s="1"/>
      <c r="R157" s="1"/>
      <c r="S157" s="1"/>
      <c r="T157" s="1"/>
      <c r="U157" s="1"/>
      <c r="V157" s="1"/>
      <c r="W157" s="1"/>
      <c r="X157" s="1"/>
    </row>
    <row r="158" spans="1:24" ht="12.75">
      <c r="A158" s="291" t="s">
        <v>10</v>
      </c>
      <c r="B158" s="293">
        <v>4130000</v>
      </c>
      <c r="C158" s="298">
        <v>0</v>
      </c>
      <c r="D158" s="298">
        <v>1118955790</v>
      </c>
      <c r="E158" s="298">
        <v>30377.97926</v>
      </c>
      <c r="F158" s="342"/>
      <c r="G158" s="342"/>
      <c r="H158" s="342"/>
      <c r="I158" s="342"/>
      <c r="J158" s="342"/>
      <c r="K158" s="342"/>
      <c r="L158" s="342"/>
      <c r="M158" s="342"/>
      <c r="N158" s="342"/>
      <c r="O158" s="342"/>
      <c r="P158" s="342"/>
      <c r="Q158" s="1"/>
      <c r="R158" s="1"/>
      <c r="S158" s="1"/>
      <c r="T158" s="1"/>
      <c r="U158" s="1"/>
      <c r="V158" s="1"/>
      <c r="W158" s="1"/>
      <c r="X158" s="1"/>
    </row>
    <row r="159" spans="1:24" ht="12.75">
      <c r="A159" s="291" t="s">
        <v>94</v>
      </c>
      <c r="B159" s="293">
        <v>5680000</v>
      </c>
      <c r="C159" s="298">
        <v>0</v>
      </c>
      <c r="D159" s="298">
        <v>0</v>
      </c>
      <c r="E159" s="353">
        <v>0</v>
      </c>
      <c r="F159" s="342"/>
      <c r="G159" s="342"/>
      <c r="H159" s="342"/>
      <c r="I159" s="342"/>
      <c r="J159" s="342"/>
      <c r="K159" s="342"/>
      <c r="L159" s="342"/>
      <c r="M159" s="342"/>
      <c r="N159" s="342"/>
      <c r="O159" s="342"/>
      <c r="P159" s="342"/>
      <c r="Q159" s="1"/>
      <c r="R159" s="1"/>
      <c r="S159" s="1"/>
      <c r="T159" s="1"/>
      <c r="U159" s="1"/>
      <c r="V159" s="1"/>
      <c r="W159" s="1"/>
      <c r="X159" s="1"/>
    </row>
    <row r="160" spans="1:24" ht="12.75">
      <c r="A160" s="291" t="s">
        <v>150</v>
      </c>
      <c r="B160" s="293">
        <v>14215000</v>
      </c>
      <c r="C160" s="298">
        <v>0</v>
      </c>
      <c r="D160" s="298">
        <v>0</v>
      </c>
      <c r="E160" s="298">
        <v>1182.78009</v>
      </c>
      <c r="F160" s="342"/>
      <c r="G160" s="342"/>
      <c r="H160" s="342"/>
      <c r="I160" s="342"/>
      <c r="J160" s="342"/>
      <c r="K160" s="342"/>
      <c r="L160" s="342"/>
      <c r="M160" s="342"/>
      <c r="N160" s="342"/>
      <c r="O160" s="342"/>
      <c r="P160" s="342"/>
      <c r="Q160" s="1"/>
      <c r="R160" s="1"/>
      <c r="S160" s="1"/>
      <c r="T160" s="1"/>
      <c r="U160" s="1"/>
      <c r="V160" s="1"/>
      <c r="W160" s="1"/>
      <c r="X160" s="1"/>
    </row>
    <row r="161" spans="1:24" ht="12.75">
      <c r="A161" s="291" t="s">
        <v>146</v>
      </c>
      <c r="B161" s="293">
        <v>143312000</v>
      </c>
      <c r="C161" s="298">
        <v>5000500000</v>
      </c>
      <c r="D161" s="298">
        <v>9039227400</v>
      </c>
      <c r="E161" s="298">
        <v>91.49183</v>
      </c>
      <c r="F161" s="342"/>
      <c r="G161" s="342"/>
      <c r="H161" s="342"/>
      <c r="I161" s="342"/>
      <c r="J161" s="342"/>
      <c r="K161" s="342"/>
      <c r="L161" s="342"/>
      <c r="M161" s="342"/>
      <c r="N161" s="342"/>
      <c r="O161" s="342"/>
      <c r="P161" s="342"/>
      <c r="Q161" s="1"/>
      <c r="R161" s="1"/>
      <c r="S161" s="1"/>
      <c r="T161" s="1"/>
      <c r="U161" s="1"/>
      <c r="V161" s="1"/>
      <c r="W161" s="1"/>
      <c r="X161" s="1"/>
    </row>
    <row r="162" spans="1:24" ht="12.75">
      <c r="A162" s="291" t="s">
        <v>140</v>
      </c>
      <c r="B162" s="293">
        <v>22454000</v>
      </c>
      <c r="C162" s="298">
        <v>0</v>
      </c>
      <c r="D162" s="298">
        <v>0</v>
      </c>
      <c r="E162" s="298">
        <v>205229.43121999997</v>
      </c>
      <c r="F162" s="342"/>
      <c r="G162" s="342"/>
      <c r="H162" s="342"/>
      <c r="I162" s="342"/>
      <c r="J162" s="342"/>
      <c r="K162" s="342"/>
      <c r="L162" s="342"/>
      <c r="M162" s="342"/>
      <c r="N162" s="342"/>
      <c r="O162" s="342"/>
      <c r="P162" s="342"/>
      <c r="Q162" s="1"/>
      <c r="R162" s="1"/>
      <c r="S162" s="1"/>
      <c r="T162" s="1"/>
      <c r="U162" s="1"/>
      <c r="V162" s="1"/>
      <c r="W162" s="1"/>
      <c r="X162" s="1"/>
    </row>
    <row r="163" spans="1:24" ht="12.75">
      <c r="A163" s="291" t="s">
        <v>20</v>
      </c>
      <c r="B163" s="293">
        <v>4628000</v>
      </c>
      <c r="C163" s="298">
        <v>7124435000</v>
      </c>
      <c r="D163" s="298">
        <v>0</v>
      </c>
      <c r="E163" s="298">
        <v>13085.53815</v>
      </c>
      <c r="F163" s="342"/>
      <c r="G163" s="342"/>
      <c r="H163" s="342"/>
      <c r="I163" s="342"/>
      <c r="J163" s="342"/>
      <c r="K163" s="342"/>
      <c r="L163" s="342"/>
      <c r="M163" s="342"/>
      <c r="N163" s="342"/>
      <c r="O163" s="342"/>
      <c r="P163" s="342"/>
      <c r="Q163" s="1"/>
      <c r="R163" s="1"/>
      <c r="S163" s="1"/>
      <c r="T163" s="1"/>
      <c r="U163" s="1"/>
      <c r="V163" s="1"/>
      <c r="W163" s="1"/>
      <c r="X163" s="1"/>
    </row>
    <row r="164" spans="1:24" ht="12.75">
      <c r="A164" s="291" t="s">
        <v>197</v>
      </c>
      <c r="B164" s="293">
        <v>3803000</v>
      </c>
      <c r="C164" s="298">
        <v>0</v>
      </c>
      <c r="D164" s="298">
        <v>0</v>
      </c>
      <c r="E164" s="353">
        <v>0</v>
      </c>
      <c r="F164" s="342"/>
      <c r="G164" s="342"/>
      <c r="H164" s="342"/>
      <c r="I164" s="342"/>
      <c r="J164" s="342"/>
      <c r="K164" s="342"/>
      <c r="L164" s="342"/>
      <c r="M164" s="342"/>
      <c r="N164" s="342"/>
      <c r="O164" s="342"/>
      <c r="P164" s="342"/>
      <c r="Q164" s="1"/>
      <c r="R164" s="1"/>
      <c r="S164" s="1"/>
      <c r="T164" s="1"/>
      <c r="U164" s="1"/>
      <c r="V164" s="1"/>
      <c r="W164" s="1"/>
      <c r="X164" s="1"/>
    </row>
    <row r="165" spans="1:24" ht="12.75">
      <c r="A165" s="291" t="s">
        <v>11</v>
      </c>
      <c r="B165" s="293">
        <v>2800000</v>
      </c>
      <c r="C165" s="298">
        <v>1902015000</v>
      </c>
      <c r="D165" s="298">
        <v>4677118600</v>
      </c>
      <c r="E165" s="353">
        <v>0</v>
      </c>
      <c r="F165" s="342"/>
      <c r="G165" s="342"/>
      <c r="H165" s="342"/>
      <c r="I165" s="342"/>
      <c r="J165" s="342"/>
      <c r="K165" s="342"/>
      <c r="L165" s="342"/>
      <c r="M165" s="342"/>
      <c r="N165" s="342"/>
      <c r="O165" s="342"/>
      <c r="P165" s="342"/>
      <c r="Q165" s="1"/>
      <c r="R165" s="1"/>
      <c r="S165" s="1"/>
      <c r="T165" s="1"/>
      <c r="U165" s="1"/>
      <c r="V165" s="1"/>
      <c r="W165" s="1"/>
      <c r="X165" s="1"/>
    </row>
    <row r="166" spans="1:24" ht="12.75">
      <c r="A166" s="291" t="s">
        <v>120</v>
      </c>
      <c r="B166" s="293">
        <v>175495000</v>
      </c>
      <c r="C166" s="298">
        <v>0</v>
      </c>
      <c r="D166" s="298">
        <v>5988717700</v>
      </c>
      <c r="E166" s="298">
        <v>24766.73162</v>
      </c>
      <c r="F166" s="342"/>
      <c r="G166" s="342"/>
      <c r="H166" s="342"/>
      <c r="I166" s="342"/>
      <c r="J166" s="342"/>
      <c r="K166" s="342"/>
      <c r="L166" s="342"/>
      <c r="M166" s="342"/>
      <c r="N166" s="342"/>
      <c r="O166" s="342"/>
      <c r="P166" s="342"/>
      <c r="Q166" s="1"/>
      <c r="R166" s="1"/>
      <c r="S166" s="1"/>
      <c r="T166" s="1"/>
      <c r="U166" s="1"/>
      <c r="V166" s="1"/>
      <c r="W166" s="1"/>
      <c r="X166" s="1"/>
    </row>
    <row r="167" spans="1:24" ht="12.75">
      <c r="A167" s="291" t="s">
        <v>36</v>
      </c>
      <c r="B167" s="293">
        <v>3258000</v>
      </c>
      <c r="C167" s="298">
        <v>0</v>
      </c>
      <c r="D167" s="298">
        <v>0</v>
      </c>
      <c r="E167" s="353">
        <v>0</v>
      </c>
      <c r="F167" s="342"/>
      <c r="G167" s="342"/>
      <c r="H167" s="342"/>
      <c r="I167" s="342"/>
      <c r="J167" s="342"/>
      <c r="K167" s="342"/>
      <c r="L167" s="342"/>
      <c r="M167" s="342"/>
      <c r="N167" s="342"/>
      <c r="O167" s="342"/>
      <c r="P167" s="342"/>
      <c r="Q167" s="1"/>
      <c r="R167" s="1"/>
      <c r="S167" s="1"/>
      <c r="T167" s="1"/>
      <c r="U167" s="1"/>
      <c r="V167" s="1"/>
      <c r="W167" s="1"/>
      <c r="X167" s="1"/>
    </row>
    <row r="168" spans="1:24" ht="12.75">
      <c r="A168" s="291" t="s">
        <v>132</v>
      </c>
      <c r="B168" s="293">
        <v>5691000</v>
      </c>
      <c r="C168" s="298">
        <v>0</v>
      </c>
      <c r="D168" s="298">
        <v>27192549.999999996</v>
      </c>
      <c r="E168" s="353">
        <v>0</v>
      </c>
      <c r="F168" s="342"/>
      <c r="G168" s="342"/>
      <c r="H168" s="342"/>
      <c r="I168" s="342"/>
      <c r="J168" s="342"/>
      <c r="K168" s="342"/>
      <c r="L168" s="342"/>
      <c r="M168" s="342"/>
      <c r="N168" s="342"/>
      <c r="O168" s="342"/>
      <c r="P168" s="342"/>
      <c r="Q168" s="1"/>
      <c r="R168" s="1"/>
      <c r="S168" s="1"/>
      <c r="T168" s="1"/>
      <c r="U168" s="1"/>
      <c r="V168" s="1"/>
      <c r="W168" s="1"/>
      <c r="X168" s="1"/>
    </row>
    <row r="169" spans="1:24" ht="12.75">
      <c r="A169" s="291" t="s">
        <v>67</v>
      </c>
      <c r="B169" s="293">
        <v>6113000</v>
      </c>
      <c r="C169" s="298">
        <v>0</v>
      </c>
      <c r="D169" s="298">
        <v>0</v>
      </c>
      <c r="E169" s="353">
        <v>0</v>
      </c>
      <c r="F169" s="342"/>
      <c r="G169" s="342"/>
      <c r="H169" s="342"/>
      <c r="I169" s="342"/>
      <c r="J169" s="342"/>
      <c r="K169" s="342"/>
      <c r="L169" s="342"/>
      <c r="M169" s="342"/>
      <c r="N169" s="342"/>
      <c r="O169" s="342"/>
      <c r="P169" s="342"/>
      <c r="Q169" s="1"/>
      <c r="R169" s="1"/>
      <c r="S169" s="1"/>
      <c r="T169" s="1"/>
      <c r="U169" s="1"/>
      <c r="V169" s="1"/>
      <c r="W169" s="1"/>
      <c r="X169" s="1"/>
    </row>
    <row r="170" spans="1:24" ht="12.75">
      <c r="A170" s="291" t="s">
        <v>41</v>
      </c>
      <c r="B170" s="293">
        <v>28809000</v>
      </c>
      <c r="C170" s="298">
        <v>216445000</v>
      </c>
      <c r="D170" s="298">
        <v>476399350</v>
      </c>
      <c r="E170" s="298">
        <v>145.67045000000002</v>
      </c>
      <c r="F170" s="342"/>
      <c r="G170" s="342"/>
      <c r="H170" s="342"/>
      <c r="I170" s="342"/>
      <c r="J170" s="342"/>
      <c r="K170" s="342"/>
      <c r="L170" s="342"/>
      <c r="M170" s="342"/>
      <c r="N170" s="342"/>
      <c r="O170" s="342"/>
      <c r="P170" s="342"/>
      <c r="Q170" s="1"/>
      <c r="R170" s="1"/>
      <c r="S170" s="1"/>
      <c r="T170" s="1"/>
      <c r="U170" s="1"/>
      <c r="V170" s="1"/>
      <c r="W170" s="1"/>
      <c r="X170" s="1"/>
    </row>
    <row r="171" spans="1:24" ht="12.75">
      <c r="A171" s="291" t="s">
        <v>58</v>
      </c>
      <c r="B171" s="293">
        <v>94157000</v>
      </c>
      <c r="C171" s="298">
        <v>0</v>
      </c>
      <c r="D171" s="298">
        <v>477105650</v>
      </c>
      <c r="E171" s="298">
        <v>12619.26043</v>
      </c>
      <c r="F171" s="342"/>
      <c r="G171" s="342"/>
      <c r="H171" s="342"/>
      <c r="I171" s="342"/>
      <c r="J171" s="342"/>
      <c r="K171" s="342"/>
      <c r="L171" s="342"/>
      <c r="M171" s="342"/>
      <c r="N171" s="342"/>
      <c r="O171" s="342"/>
      <c r="P171" s="342"/>
      <c r="Q171" s="1"/>
      <c r="R171" s="1"/>
      <c r="S171" s="1"/>
      <c r="T171" s="1"/>
      <c r="U171" s="1"/>
      <c r="V171" s="1"/>
      <c r="W171" s="1"/>
      <c r="X171" s="1"/>
    </row>
    <row r="172" spans="1:24" ht="12.75">
      <c r="A172" s="291" t="s">
        <v>69</v>
      </c>
      <c r="B172" s="293">
        <v>38518000</v>
      </c>
      <c r="C172" s="298">
        <v>0</v>
      </c>
      <c r="D172" s="298">
        <v>1196613470</v>
      </c>
      <c r="E172" s="298">
        <v>1070003.13167</v>
      </c>
      <c r="F172" s="342"/>
      <c r="G172" s="342"/>
      <c r="H172" s="342"/>
      <c r="I172" s="342"/>
      <c r="J172" s="342"/>
      <c r="K172" s="342"/>
      <c r="L172" s="342"/>
      <c r="M172" s="342"/>
      <c r="N172" s="342"/>
      <c r="O172" s="342"/>
      <c r="P172" s="342"/>
      <c r="Q172" s="1"/>
      <c r="R172" s="1"/>
      <c r="S172" s="1"/>
      <c r="T172" s="1"/>
      <c r="U172" s="1"/>
      <c r="V172" s="1"/>
      <c r="W172" s="1"/>
      <c r="X172" s="1"/>
    </row>
    <row r="173" spans="1:24" ht="12.75">
      <c r="A173" s="291" t="s">
        <v>32</v>
      </c>
      <c r="B173" s="293">
        <v>10643000</v>
      </c>
      <c r="C173" s="298">
        <v>0</v>
      </c>
      <c r="D173" s="298">
        <v>0</v>
      </c>
      <c r="E173" s="353">
        <v>0</v>
      </c>
      <c r="F173" s="342"/>
      <c r="G173" s="342"/>
      <c r="H173" s="342"/>
      <c r="I173" s="342"/>
      <c r="J173" s="342"/>
      <c r="K173" s="342"/>
      <c r="L173" s="342"/>
      <c r="M173" s="342"/>
      <c r="N173" s="342"/>
      <c r="O173" s="342"/>
      <c r="P173" s="342"/>
      <c r="Q173" s="1"/>
      <c r="R173" s="1"/>
      <c r="S173" s="1"/>
      <c r="T173" s="1"/>
      <c r="U173" s="1"/>
      <c r="V173" s="1"/>
      <c r="W173" s="1"/>
      <c r="X173" s="1"/>
    </row>
    <row r="174" spans="1:24" ht="12.75">
      <c r="A174" s="291" t="s">
        <v>12</v>
      </c>
      <c r="B174" s="293">
        <v>815000</v>
      </c>
      <c r="C174" s="298">
        <v>1888510000</v>
      </c>
      <c r="D174" s="298">
        <v>9067832550.000002</v>
      </c>
      <c r="E174" s="353">
        <v>0</v>
      </c>
      <c r="F174" s="342"/>
      <c r="G174" s="342"/>
      <c r="H174" s="342"/>
      <c r="I174" s="342"/>
      <c r="J174" s="342"/>
      <c r="K174" s="342"/>
      <c r="L174" s="342"/>
      <c r="M174" s="342"/>
      <c r="N174" s="342"/>
      <c r="O174" s="342"/>
      <c r="P174" s="342"/>
      <c r="Q174" s="1"/>
      <c r="R174" s="1"/>
      <c r="S174" s="1"/>
      <c r="T174" s="1"/>
      <c r="U174" s="1"/>
      <c r="V174" s="1"/>
      <c r="W174" s="1"/>
      <c r="X174" s="1"/>
    </row>
    <row r="175" spans="1:24" ht="12.75">
      <c r="A175" s="291" t="s">
        <v>172</v>
      </c>
      <c r="B175" s="293">
        <v>766000</v>
      </c>
      <c r="C175" s="298">
        <v>0</v>
      </c>
      <c r="D175" s="298">
        <v>0</v>
      </c>
      <c r="E175" s="353">
        <v>0</v>
      </c>
      <c r="F175" s="342"/>
      <c r="G175" s="342"/>
      <c r="H175" s="342"/>
      <c r="I175" s="342"/>
      <c r="J175" s="342"/>
      <c r="K175" s="342"/>
      <c r="L175" s="342"/>
      <c r="M175" s="342"/>
      <c r="N175" s="342"/>
      <c r="O175" s="342"/>
      <c r="P175" s="342"/>
      <c r="Q175" s="1"/>
      <c r="R175" s="1"/>
      <c r="S175" s="1"/>
      <c r="T175" s="1"/>
      <c r="U175" s="1"/>
      <c r="V175" s="1"/>
      <c r="W175" s="1"/>
      <c r="X175" s="1"/>
    </row>
    <row r="176" spans="1:24" ht="12.75">
      <c r="A176" s="291" t="s">
        <v>54</v>
      </c>
      <c r="B176" s="293">
        <v>22106000</v>
      </c>
      <c r="C176" s="298">
        <v>0</v>
      </c>
      <c r="D176" s="298">
        <v>2727377450</v>
      </c>
      <c r="E176" s="298">
        <v>208280.62907</v>
      </c>
      <c r="F176" s="342"/>
      <c r="G176" s="342"/>
      <c r="H176" s="342"/>
      <c r="I176" s="342"/>
      <c r="J176" s="342"/>
      <c r="K176" s="342"/>
      <c r="L176" s="342"/>
      <c r="M176" s="342"/>
      <c r="N176" s="342"/>
      <c r="O176" s="342"/>
      <c r="P176" s="342"/>
      <c r="Q176" s="1"/>
      <c r="R176" s="1"/>
      <c r="S176" s="1"/>
      <c r="T176" s="1"/>
      <c r="U176" s="1"/>
      <c r="V176" s="1"/>
      <c r="W176" s="1"/>
      <c r="X176" s="1"/>
    </row>
    <row r="177" spans="1:24" ht="12.75">
      <c r="A177" s="291" t="s">
        <v>74</v>
      </c>
      <c r="B177" s="293">
        <v>141378000</v>
      </c>
      <c r="C177" s="298">
        <v>17765645000</v>
      </c>
      <c r="D177" s="298">
        <v>129987452000.00002</v>
      </c>
      <c r="E177" s="298">
        <v>1669721.7226</v>
      </c>
      <c r="F177" s="342"/>
      <c r="G177" s="342"/>
      <c r="H177" s="342"/>
      <c r="I177" s="342"/>
      <c r="J177" s="342"/>
      <c r="K177" s="342"/>
      <c r="L177" s="342"/>
      <c r="M177" s="342"/>
      <c r="N177" s="342"/>
      <c r="O177" s="342"/>
      <c r="P177" s="342"/>
      <c r="Q177" s="1"/>
      <c r="R177" s="1"/>
      <c r="S177" s="1"/>
      <c r="T177" s="1"/>
      <c r="U177" s="1"/>
      <c r="V177" s="1"/>
      <c r="W177" s="1"/>
      <c r="X177" s="1"/>
    </row>
    <row r="178" spans="1:24" ht="12.75">
      <c r="A178" s="291" t="s">
        <v>129</v>
      </c>
      <c r="B178" s="293">
        <v>10141000</v>
      </c>
      <c r="C178" s="298">
        <v>0</v>
      </c>
      <c r="D178" s="298">
        <v>0</v>
      </c>
      <c r="E178" s="353">
        <v>0</v>
      </c>
      <c r="F178" s="342"/>
      <c r="G178" s="342"/>
      <c r="H178" s="342"/>
      <c r="I178" s="342"/>
      <c r="J178" s="342"/>
      <c r="K178" s="342"/>
      <c r="L178" s="342"/>
      <c r="M178" s="342"/>
      <c r="N178" s="342"/>
      <c r="O178" s="342"/>
      <c r="P178" s="342"/>
      <c r="Q178" s="1"/>
      <c r="R178" s="1"/>
      <c r="S178" s="1"/>
      <c r="T178" s="1"/>
      <c r="U178" s="1"/>
      <c r="V178" s="1"/>
      <c r="W178" s="1"/>
      <c r="X178" s="1"/>
    </row>
    <row r="179" spans="1:24" ht="12.75">
      <c r="A179" s="291" t="s">
        <v>174</v>
      </c>
      <c r="B179" s="293">
        <v>49000</v>
      </c>
      <c r="C179" s="298">
        <v>0</v>
      </c>
      <c r="D179" s="298">
        <v>0</v>
      </c>
      <c r="E179" s="353">
        <v>0</v>
      </c>
      <c r="F179" s="342"/>
      <c r="G179" s="342"/>
      <c r="H179" s="342"/>
      <c r="I179" s="342"/>
      <c r="J179" s="342"/>
      <c r="K179" s="342"/>
      <c r="L179" s="342"/>
      <c r="M179" s="342"/>
      <c r="N179" s="342"/>
      <c r="O179" s="342"/>
      <c r="P179" s="342"/>
      <c r="Q179" s="1"/>
      <c r="R179" s="1"/>
      <c r="S179" s="1"/>
      <c r="T179" s="1"/>
      <c r="U179" s="1"/>
      <c r="V179" s="1"/>
      <c r="W179" s="1"/>
      <c r="X179" s="1"/>
    </row>
    <row r="180" spans="1:24" ht="12.75">
      <c r="A180" s="291" t="s">
        <v>175</v>
      </c>
      <c r="B180" s="293">
        <v>159000</v>
      </c>
      <c r="C180" s="298">
        <v>0</v>
      </c>
      <c r="D180" s="298">
        <v>0</v>
      </c>
      <c r="E180" s="353">
        <v>0</v>
      </c>
      <c r="F180" s="342"/>
      <c r="G180" s="342"/>
      <c r="H180" s="342"/>
      <c r="I180" s="342"/>
      <c r="J180" s="342"/>
      <c r="K180" s="342"/>
      <c r="L180" s="342"/>
      <c r="M180" s="342"/>
      <c r="N180" s="342"/>
      <c r="O180" s="342"/>
      <c r="P180" s="342"/>
      <c r="Q180" s="1"/>
      <c r="R180" s="1"/>
      <c r="S180" s="1"/>
      <c r="T180" s="1"/>
      <c r="U180" s="1"/>
      <c r="V180" s="1"/>
      <c r="W180" s="1"/>
      <c r="X180" s="1"/>
    </row>
    <row r="181" spans="1:24" ht="12.75">
      <c r="A181" s="291" t="s">
        <v>198</v>
      </c>
      <c r="B181" s="293">
        <v>105000</v>
      </c>
      <c r="C181" s="298">
        <v>0</v>
      </c>
      <c r="D181" s="298">
        <v>0</v>
      </c>
      <c r="E181" s="353">
        <v>0</v>
      </c>
      <c r="F181" s="342"/>
      <c r="G181" s="342"/>
      <c r="H181" s="342"/>
      <c r="I181" s="342"/>
      <c r="J181" s="342"/>
      <c r="K181" s="342"/>
      <c r="L181" s="342"/>
      <c r="M181" s="342"/>
      <c r="N181" s="342"/>
      <c r="O181" s="342"/>
      <c r="P181" s="342"/>
      <c r="Q181" s="1"/>
      <c r="R181" s="1"/>
      <c r="S181" s="1"/>
      <c r="T181" s="1"/>
      <c r="U181" s="1"/>
      <c r="V181" s="1"/>
      <c r="W181" s="1"/>
      <c r="X181" s="1"/>
    </row>
    <row r="182" spans="1:24" ht="12.75">
      <c r="A182" s="291" t="s">
        <v>179</v>
      </c>
      <c r="B182" s="293">
        <v>188000</v>
      </c>
      <c r="C182" s="298">
        <v>0</v>
      </c>
      <c r="D182" s="298">
        <v>0</v>
      </c>
      <c r="E182" s="353">
        <v>0</v>
      </c>
      <c r="F182" s="342"/>
      <c r="G182" s="342"/>
      <c r="H182" s="342"/>
      <c r="I182" s="342"/>
      <c r="J182" s="342"/>
      <c r="K182" s="342"/>
      <c r="L182" s="342"/>
      <c r="M182" s="342"/>
      <c r="N182" s="342"/>
      <c r="O182" s="342"/>
      <c r="P182" s="342"/>
      <c r="Q182" s="1"/>
      <c r="R182" s="1"/>
      <c r="S182" s="1"/>
      <c r="T182" s="1"/>
      <c r="U182" s="1"/>
      <c r="V182" s="1"/>
      <c r="W182" s="1"/>
      <c r="X182" s="1"/>
    </row>
    <row r="183" spans="1:24" ht="12.75">
      <c r="A183" s="291" t="s">
        <v>92</v>
      </c>
      <c r="B183" s="293">
        <v>165000</v>
      </c>
      <c r="C183" s="298">
        <v>0</v>
      </c>
      <c r="D183" s="298">
        <v>0</v>
      </c>
      <c r="E183" s="353">
        <v>0</v>
      </c>
      <c r="F183" s="342"/>
      <c r="G183" s="342"/>
      <c r="H183" s="342"/>
      <c r="I183" s="342"/>
      <c r="J183" s="342"/>
      <c r="K183" s="342"/>
      <c r="L183" s="342"/>
      <c r="M183" s="342"/>
      <c r="N183" s="342"/>
      <c r="O183" s="342"/>
      <c r="P183" s="342"/>
      <c r="Q183" s="1"/>
      <c r="R183" s="1"/>
      <c r="S183" s="1"/>
      <c r="T183" s="1"/>
      <c r="U183" s="1"/>
      <c r="V183" s="1"/>
      <c r="W183" s="1"/>
      <c r="X183" s="1"/>
    </row>
    <row r="184" spans="1:24" ht="12.75">
      <c r="A184" s="291" t="s">
        <v>99</v>
      </c>
      <c r="B184" s="293">
        <v>24499000</v>
      </c>
      <c r="C184" s="298">
        <v>21733560000</v>
      </c>
      <c r="D184" s="298">
        <v>13992156150.000002</v>
      </c>
      <c r="E184" s="353">
        <v>0</v>
      </c>
      <c r="F184" s="342"/>
      <c r="G184" s="342"/>
      <c r="H184" s="342"/>
      <c r="I184" s="342"/>
      <c r="J184" s="342"/>
      <c r="K184" s="342"/>
      <c r="L184" s="342"/>
      <c r="M184" s="342"/>
      <c r="N184" s="342"/>
      <c r="O184" s="342"/>
      <c r="P184" s="342"/>
      <c r="Q184" s="1"/>
      <c r="R184" s="1"/>
      <c r="S184" s="1"/>
      <c r="T184" s="1"/>
      <c r="U184" s="1"/>
      <c r="V184" s="1"/>
      <c r="W184" s="1"/>
      <c r="X184" s="1"/>
    </row>
    <row r="185" spans="1:24" ht="12.75">
      <c r="A185" s="291" t="s">
        <v>137</v>
      </c>
      <c r="B185" s="293">
        <v>11394000</v>
      </c>
      <c r="C185" s="298">
        <v>0</v>
      </c>
      <c r="D185" s="298">
        <v>10594500</v>
      </c>
      <c r="E185" s="353">
        <v>0</v>
      </c>
      <c r="F185" s="342"/>
      <c r="G185" s="342"/>
      <c r="H185" s="342"/>
      <c r="I185" s="342"/>
      <c r="J185" s="342"/>
      <c r="K185" s="342"/>
      <c r="L185" s="342"/>
      <c r="M185" s="342"/>
      <c r="N185" s="342"/>
      <c r="O185" s="342"/>
      <c r="P185" s="342"/>
      <c r="Q185" s="1"/>
      <c r="R185" s="1"/>
      <c r="S185" s="1"/>
      <c r="T185" s="1"/>
      <c r="U185" s="1"/>
      <c r="V185" s="1"/>
      <c r="W185" s="1"/>
      <c r="X185" s="1"/>
    </row>
    <row r="186" spans="1:24" ht="12.75">
      <c r="A186" s="290" t="s">
        <v>238</v>
      </c>
      <c r="B186" s="293">
        <v>9233000</v>
      </c>
      <c r="C186" s="298">
        <v>0</v>
      </c>
      <c r="D186" s="298">
        <v>96586520</v>
      </c>
      <c r="E186" s="298">
        <v>242156.39988280536</v>
      </c>
      <c r="F186" s="342"/>
      <c r="G186" s="342"/>
      <c r="H186" s="342"/>
      <c r="I186" s="342"/>
      <c r="J186" s="342"/>
      <c r="K186" s="342"/>
      <c r="L186" s="342"/>
      <c r="M186" s="342"/>
      <c r="N186" s="342"/>
      <c r="O186" s="342"/>
      <c r="P186" s="342"/>
      <c r="Q186" s="1"/>
      <c r="R186" s="1"/>
      <c r="S186" s="1"/>
      <c r="T186" s="1"/>
      <c r="U186" s="1"/>
      <c r="V186" s="1"/>
      <c r="W186" s="1"/>
      <c r="X186" s="1"/>
    </row>
    <row r="187" spans="1:24" ht="12.75">
      <c r="A187" s="291" t="s">
        <v>166</v>
      </c>
      <c r="B187" s="293">
        <v>86000</v>
      </c>
      <c r="C187" s="298">
        <v>0</v>
      </c>
      <c r="D187" s="298">
        <v>0</v>
      </c>
      <c r="E187" s="353">
        <v>0</v>
      </c>
      <c r="F187" s="342"/>
      <c r="G187" s="342"/>
      <c r="H187" s="342"/>
      <c r="I187" s="342"/>
      <c r="J187" s="342"/>
      <c r="K187" s="342"/>
      <c r="L187" s="342"/>
      <c r="M187" s="342"/>
      <c r="N187" s="342"/>
      <c r="O187" s="342"/>
      <c r="P187" s="342"/>
      <c r="Q187" s="1"/>
      <c r="R187" s="1"/>
      <c r="S187" s="1"/>
      <c r="T187" s="1"/>
      <c r="U187" s="1"/>
      <c r="V187" s="1"/>
      <c r="W187" s="1"/>
      <c r="X187" s="1"/>
    </row>
    <row r="188" spans="1:24" ht="12.75">
      <c r="A188" s="291" t="s">
        <v>155</v>
      </c>
      <c r="B188" s="293">
        <v>4918000</v>
      </c>
      <c r="C188" s="298">
        <v>0</v>
      </c>
      <c r="D188" s="298">
        <v>0</v>
      </c>
      <c r="E188" s="353">
        <v>0</v>
      </c>
      <c r="F188" s="342"/>
      <c r="G188" s="342"/>
      <c r="H188" s="342"/>
      <c r="I188" s="342"/>
      <c r="J188" s="342"/>
      <c r="K188" s="342"/>
      <c r="L188" s="342"/>
      <c r="M188" s="342"/>
      <c r="N188" s="342"/>
      <c r="O188" s="342"/>
      <c r="P188" s="342"/>
      <c r="Q188" s="1"/>
      <c r="R188" s="1"/>
      <c r="S188" s="1"/>
      <c r="T188" s="1"/>
      <c r="U188" s="1"/>
      <c r="V188" s="1"/>
      <c r="W188" s="1"/>
      <c r="X188" s="1"/>
    </row>
    <row r="189" spans="1:24" ht="12.75">
      <c r="A189" s="291" t="s">
        <v>13</v>
      </c>
      <c r="B189" s="293">
        <v>4553000</v>
      </c>
      <c r="C189" s="298">
        <v>0</v>
      </c>
      <c r="D189" s="298">
        <v>0</v>
      </c>
      <c r="E189" s="353">
        <v>0</v>
      </c>
      <c r="F189" s="342"/>
      <c r="G189" s="342"/>
      <c r="H189" s="342"/>
      <c r="I189" s="342"/>
      <c r="J189" s="342"/>
      <c r="K189" s="342"/>
      <c r="L189" s="342"/>
      <c r="M189" s="342"/>
      <c r="N189" s="342"/>
      <c r="O189" s="342"/>
      <c r="P189" s="342"/>
      <c r="Q189" s="1"/>
      <c r="R189" s="1"/>
      <c r="S189" s="1"/>
      <c r="T189" s="1"/>
      <c r="U189" s="1"/>
      <c r="V189" s="1"/>
      <c r="W189" s="1"/>
      <c r="X189" s="1"/>
    </row>
    <row r="190" spans="1:24" ht="12.75">
      <c r="A190" s="291" t="s">
        <v>27</v>
      </c>
      <c r="B190" s="293">
        <v>5448000</v>
      </c>
      <c r="C190" s="298">
        <v>0</v>
      </c>
      <c r="D190" s="298">
        <v>38210840</v>
      </c>
      <c r="E190" s="298">
        <v>20983.59904</v>
      </c>
      <c r="F190" s="342"/>
      <c r="G190" s="342"/>
      <c r="H190" s="342"/>
      <c r="I190" s="342"/>
      <c r="J190" s="342"/>
      <c r="K190" s="342"/>
      <c r="L190" s="342"/>
      <c r="M190" s="342"/>
      <c r="N190" s="342"/>
      <c r="O190" s="342"/>
      <c r="P190" s="342"/>
      <c r="Q190" s="1"/>
      <c r="R190" s="1"/>
      <c r="S190" s="1"/>
      <c r="T190" s="1"/>
      <c r="U190" s="1"/>
      <c r="V190" s="1"/>
      <c r="W190" s="1"/>
      <c r="X190" s="1"/>
    </row>
    <row r="191" spans="1:24" ht="12.75">
      <c r="A191" s="291" t="s">
        <v>62</v>
      </c>
      <c r="B191" s="293">
        <v>2009000</v>
      </c>
      <c r="C191" s="298">
        <v>0</v>
      </c>
      <c r="D191" s="298">
        <v>529740</v>
      </c>
      <c r="E191" s="298">
        <v>30288.209230000004</v>
      </c>
      <c r="F191" s="342"/>
      <c r="G191" s="342"/>
      <c r="H191" s="342"/>
      <c r="I191" s="342"/>
      <c r="J191" s="342"/>
      <c r="K191" s="342"/>
      <c r="L191" s="342"/>
      <c r="M191" s="342"/>
      <c r="N191" s="342"/>
      <c r="O191" s="342"/>
      <c r="P191" s="342"/>
      <c r="Q191" s="1"/>
      <c r="R191" s="1"/>
      <c r="S191" s="1"/>
      <c r="T191" s="1"/>
      <c r="U191" s="1"/>
      <c r="V191" s="1"/>
      <c r="W191" s="1"/>
      <c r="X191" s="1"/>
    </row>
    <row r="192" spans="1:24" ht="12.75">
      <c r="A192" s="291" t="s">
        <v>111</v>
      </c>
      <c r="B192" s="293">
        <v>521000</v>
      </c>
      <c r="C192" s="298">
        <v>0</v>
      </c>
      <c r="D192" s="298">
        <v>0</v>
      </c>
      <c r="E192" s="353">
        <v>0</v>
      </c>
      <c r="F192" s="342"/>
      <c r="G192" s="342"/>
      <c r="H192" s="342"/>
      <c r="I192" s="342"/>
      <c r="J192" s="342"/>
      <c r="K192" s="342"/>
      <c r="L192" s="342"/>
      <c r="M192" s="342"/>
      <c r="N192" s="342"/>
      <c r="O192" s="342"/>
      <c r="P192" s="342"/>
      <c r="Q192" s="1"/>
      <c r="R192" s="1"/>
      <c r="S192" s="1"/>
      <c r="T192" s="1"/>
      <c r="U192" s="1"/>
      <c r="V192" s="1"/>
      <c r="W192" s="1"/>
      <c r="X192" s="1"/>
    </row>
    <row r="193" spans="1:24" ht="12.75">
      <c r="A193" s="291" t="s">
        <v>188</v>
      </c>
      <c r="B193" s="293">
        <v>9292000</v>
      </c>
      <c r="C193" s="298">
        <v>0</v>
      </c>
      <c r="D193" s="298">
        <v>0</v>
      </c>
      <c r="E193" s="353">
        <v>0</v>
      </c>
      <c r="F193" s="342"/>
      <c r="G193" s="342"/>
      <c r="H193" s="342"/>
      <c r="I193" s="342"/>
      <c r="J193" s="342"/>
      <c r="K193" s="342"/>
      <c r="L193" s="342"/>
      <c r="M193" s="342"/>
      <c r="N193" s="342"/>
      <c r="O193" s="342"/>
      <c r="P193" s="342"/>
      <c r="Q193" s="1"/>
      <c r="R193" s="1"/>
      <c r="S193" s="1"/>
      <c r="T193" s="1"/>
      <c r="U193" s="1"/>
      <c r="V193" s="1"/>
      <c r="W193" s="1"/>
      <c r="X193" s="1"/>
    </row>
    <row r="194" spans="1:24" ht="12.75">
      <c r="A194" s="291" t="s">
        <v>112</v>
      </c>
      <c r="B194" s="293">
        <v>48367000</v>
      </c>
      <c r="C194" s="298">
        <v>0</v>
      </c>
      <c r="D194" s="298">
        <v>485228100</v>
      </c>
      <c r="E194" s="298">
        <v>1546989.85444</v>
      </c>
      <c r="F194" s="342"/>
      <c r="G194" s="342"/>
      <c r="H194" s="342"/>
      <c r="I194" s="342"/>
      <c r="J194" s="342"/>
      <c r="K194" s="342"/>
      <c r="L194" s="342"/>
      <c r="M194" s="342"/>
      <c r="N194" s="342"/>
      <c r="O194" s="342"/>
      <c r="P194" s="342"/>
      <c r="Q194" s="1"/>
      <c r="R194" s="1"/>
      <c r="S194" s="1"/>
      <c r="T194" s="1"/>
      <c r="U194" s="1"/>
      <c r="V194" s="1"/>
      <c r="W194" s="1"/>
      <c r="X194" s="1"/>
    </row>
    <row r="195" spans="1:24" ht="12.75">
      <c r="A195" s="291" t="s">
        <v>95</v>
      </c>
      <c r="B195" s="293">
        <v>48250000</v>
      </c>
      <c r="C195" s="298">
        <v>0</v>
      </c>
      <c r="D195" s="298">
        <v>17374980</v>
      </c>
      <c r="E195" s="298">
        <v>22714.227870000002</v>
      </c>
      <c r="F195" s="342"/>
      <c r="G195" s="342"/>
      <c r="H195" s="342"/>
      <c r="I195" s="342"/>
      <c r="J195" s="342"/>
      <c r="K195" s="342"/>
      <c r="L195" s="342"/>
      <c r="M195" s="342"/>
      <c r="N195" s="342"/>
      <c r="O195" s="342"/>
      <c r="P195" s="342"/>
      <c r="Q195" s="1"/>
      <c r="R195" s="1"/>
      <c r="S195" s="1"/>
      <c r="T195" s="1"/>
      <c r="U195" s="1"/>
      <c r="V195" s="1"/>
      <c r="W195" s="1"/>
      <c r="X195" s="1"/>
    </row>
    <row r="196" spans="1:24" ht="12.75">
      <c r="A196" s="291" t="s">
        <v>37</v>
      </c>
      <c r="B196" s="293">
        <v>45212000</v>
      </c>
      <c r="C196" s="298">
        <v>0</v>
      </c>
      <c r="D196" s="298">
        <v>67133830</v>
      </c>
      <c r="E196" s="298">
        <v>141881.80201</v>
      </c>
      <c r="F196" s="342"/>
      <c r="G196" s="342"/>
      <c r="H196" s="342"/>
      <c r="I196" s="342"/>
      <c r="J196" s="342"/>
      <c r="K196" s="342"/>
      <c r="L196" s="342"/>
      <c r="M196" s="342"/>
      <c r="N196" s="342"/>
      <c r="O196" s="342"/>
      <c r="P196" s="342"/>
      <c r="Q196" s="1"/>
      <c r="R196" s="1"/>
      <c r="S196" s="1"/>
      <c r="T196" s="1"/>
      <c r="U196" s="1"/>
      <c r="V196" s="1"/>
      <c r="W196" s="1"/>
      <c r="X196" s="1"/>
    </row>
    <row r="197" spans="1:24" ht="12.75">
      <c r="A197" s="291" t="s">
        <v>65</v>
      </c>
      <c r="B197" s="293">
        <v>20926000</v>
      </c>
      <c r="C197" s="298">
        <v>0</v>
      </c>
      <c r="D197" s="298">
        <v>0</v>
      </c>
      <c r="E197" s="353">
        <v>0</v>
      </c>
      <c r="F197" s="342"/>
      <c r="G197" s="342"/>
      <c r="H197" s="342"/>
      <c r="I197" s="342"/>
      <c r="J197" s="342"/>
      <c r="K197" s="342"/>
      <c r="L197" s="342"/>
      <c r="M197" s="342"/>
      <c r="N197" s="342"/>
      <c r="O197" s="342"/>
      <c r="P197" s="342"/>
      <c r="Q197" s="1"/>
      <c r="R197" s="1"/>
      <c r="S197" s="1"/>
      <c r="T197" s="1"/>
      <c r="U197" s="1"/>
      <c r="V197" s="1"/>
      <c r="W197" s="1"/>
      <c r="X197" s="1"/>
    </row>
    <row r="198" spans="1:24" ht="12.75">
      <c r="A198" s="291" t="s">
        <v>124</v>
      </c>
      <c r="B198" s="293">
        <v>40526000</v>
      </c>
      <c r="C198" s="298">
        <v>548595000</v>
      </c>
      <c r="D198" s="298">
        <v>0</v>
      </c>
      <c r="E198" s="353">
        <v>0</v>
      </c>
      <c r="F198" s="342"/>
      <c r="G198" s="342"/>
      <c r="H198" s="342"/>
      <c r="I198" s="342"/>
      <c r="J198" s="342"/>
      <c r="K198" s="342"/>
      <c r="L198" s="342"/>
      <c r="M198" s="342"/>
      <c r="N198" s="342"/>
      <c r="O198" s="342"/>
      <c r="P198" s="342"/>
      <c r="Q198" s="1"/>
      <c r="R198" s="1"/>
      <c r="S198" s="1"/>
      <c r="T198" s="1"/>
      <c r="U198" s="1"/>
      <c r="V198" s="1"/>
      <c r="W198" s="1"/>
      <c r="X198" s="1"/>
    </row>
    <row r="199" spans="1:24" ht="12.75">
      <c r="A199" s="291" t="s">
        <v>49</v>
      </c>
      <c r="B199" s="293">
        <v>471000</v>
      </c>
      <c r="C199" s="298">
        <v>0</v>
      </c>
      <c r="D199" s="298">
        <v>0</v>
      </c>
      <c r="E199" s="353">
        <v>0</v>
      </c>
      <c r="F199" s="342"/>
      <c r="G199" s="342"/>
      <c r="H199" s="342"/>
      <c r="I199" s="342"/>
      <c r="J199" s="342"/>
      <c r="K199" s="342"/>
      <c r="L199" s="342"/>
      <c r="M199" s="342"/>
      <c r="N199" s="342"/>
      <c r="O199" s="342"/>
      <c r="P199" s="342"/>
      <c r="Q199" s="1"/>
      <c r="R199" s="1"/>
      <c r="S199" s="1"/>
      <c r="T199" s="1"/>
      <c r="U199" s="1"/>
      <c r="V199" s="1"/>
      <c r="W199" s="1"/>
      <c r="X199" s="1"/>
    </row>
    <row r="200" spans="1:24" ht="12.75">
      <c r="A200" s="291" t="s">
        <v>101</v>
      </c>
      <c r="B200" s="293">
        <v>1300000</v>
      </c>
      <c r="C200" s="298">
        <v>0</v>
      </c>
      <c r="D200" s="298">
        <v>0</v>
      </c>
      <c r="E200" s="298">
        <v>2631.3274499999998</v>
      </c>
      <c r="F200" s="342"/>
      <c r="G200" s="342"/>
      <c r="H200" s="342"/>
      <c r="I200" s="342"/>
      <c r="J200" s="342"/>
      <c r="K200" s="342"/>
      <c r="L200" s="342"/>
      <c r="M200" s="342"/>
      <c r="N200" s="342"/>
      <c r="O200" s="342"/>
      <c r="P200" s="342"/>
      <c r="Q200" s="1"/>
      <c r="R200" s="1"/>
      <c r="S200" s="1"/>
      <c r="T200" s="1"/>
      <c r="U200" s="1"/>
      <c r="V200" s="1"/>
      <c r="W200" s="1"/>
      <c r="X200" s="1"/>
    </row>
    <row r="201" spans="1:24" ht="12.75">
      <c r="A201" s="291" t="s">
        <v>19</v>
      </c>
      <c r="B201" s="293">
        <v>9031000</v>
      </c>
      <c r="C201" s="298">
        <v>0</v>
      </c>
      <c r="D201" s="298">
        <v>0</v>
      </c>
      <c r="E201" s="353">
        <v>0</v>
      </c>
      <c r="F201" s="342"/>
      <c r="G201" s="342"/>
      <c r="H201" s="342"/>
      <c r="I201" s="342"/>
      <c r="J201" s="342"/>
      <c r="K201" s="342"/>
      <c r="L201" s="342"/>
      <c r="M201" s="342"/>
      <c r="N201" s="342"/>
      <c r="O201" s="342"/>
      <c r="P201" s="342"/>
      <c r="Q201" s="1"/>
      <c r="R201" s="1"/>
      <c r="S201" s="1"/>
      <c r="T201" s="1"/>
      <c r="U201" s="1"/>
      <c r="V201" s="1"/>
      <c r="W201" s="1"/>
      <c r="X201" s="1"/>
    </row>
    <row r="202" spans="1:24" ht="12.75">
      <c r="A202" s="291" t="s">
        <v>17</v>
      </c>
      <c r="B202" s="293">
        <v>7589000</v>
      </c>
      <c r="C202" s="298">
        <v>0</v>
      </c>
      <c r="D202" s="298">
        <v>0</v>
      </c>
      <c r="E202" s="353">
        <v>0</v>
      </c>
      <c r="F202" s="342"/>
      <c r="G202" s="342"/>
      <c r="H202" s="342"/>
      <c r="I202" s="342"/>
      <c r="J202" s="342"/>
      <c r="K202" s="342"/>
      <c r="L202" s="342"/>
      <c r="M202" s="342"/>
      <c r="N202" s="342"/>
      <c r="O202" s="342"/>
      <c r="P202" s="342"/>
      <c r="Q202" s="1"/>
      <c r="R202" s="1"/>
      <c r="S202" s="1"/>
      <c r="T202" s="1"/>
      <c r="U202" s="1"/>
      <c r="V202" s="1"/>
      <c r="W202" s="1"/>
      <c r="X202" s="1"/>
    </row>
    <row r="203" spans="1:24" ht="12.75">
      <c r="A203" s="291" t="s">
        <v>63</v>
      </c>
      <c r="B203" s="293">
        <v>20488000</v>
      </c>
      <c r="C203" s="298">
        <v>1149385000</v>
      </c>
      <c r="D203" s="298">
        <v>1820841400</v>
      </c>
      <c r="E203" s="353">
        <v>0</v>
      </c>
      <c r="F203" s="342"/>
      <c r="G203" s="342"/>
      <c r="H203" s="342"/>
      <c r="I203" s="342"/>
      <c r="J203" s="342"/>
      <c r="K203" s="342"/>
      <c r="L203" s="342"/>
      <c r="M203" s="342"/>
      <c r="N203" s="342"/>
      <c r="O203" s="342"/>
      <c r="P203" s="342"/>
      <c r="Q203" s="1"/>
      <c r="R203" s="1"/>
      <c r="S203" s="1"/>
      <c r="T203" s="1"/>
      <c r="U203" s="1"/>
      <c r="V203" s="1"/>
      <c r="W203" s="1"/>
      <c r="X203" s="1"/>
    </row>
    <row r="204" spans="1:24" ht="12.75">
      <c r="A204" s="291" t="s">
        <v>192</v>
      </c>
      <c r="B204" s="293">
        <v>22859000</v>
      </c>
      <c r="C204" s="298">
        <v>0</v>
      </c>
      <c r="D204" s="298">
        <v>181872250</v>
      </c>
      <c r="E204" s="298">
        <v>91.69026</v>
      </c>
      <c r="F204" s="342"/>
      <c r="G204" s="342"/>
      <c r="H204" s="342"/>
      <c r="I204" s="342"/>
      <c r="J204" s="342"/>
      <c r="K204" s="342"/>
      <c r="L204" s="342"/>
      <c r="M204" s="342"/>
      <c r="N204" s="342"/>
      <c r="O204" s="342"/>
      <c r="P204" s="342"/>
      <c r="Q204" s="1"/>
      <c r="R204" s="1"/>
      <c r="S204" s="1"/>
      <c r="T204" s="1"/>
      <c r="U204" s="1"/>
      <c r="V204" s="1"/>
      <c r="W204" s="1"/>
      <c r="X204" s="1"/>
    </row>
    <row r="205" spans="1:24" ht="12.75">
      <c r="A205" s="291" t="s">
        <v>109</v>
      </c>
      <c r="B205" s="293">
        <v>7077000</v>
      </c>
      <c r="C205" s="298">
        <v>0</v>
      </c>
      <c r="D205" s="298">
        <v>8122460</v>
      </c>
      <c r="E205" s="298">
        <v>353.84194</v>
      </c>
      <c r="F205" s="342"/>
      <c r="G205" s="342"/>
      <c r="H205" s="342"/>
      <c r="I205" s="342"/>
      <c r="J205" s="342"/>
      <c r="K205" s="342"/>
      <c r="L205" s="342"/>
      <c r="M205" s="342"/>
      <c r="N205" s="342"/>
      <c r="O205" s="342"/>
      <c r="P205" s="342"/>
      <c r="Q205" s="1"/>
      <c r="R205" s="1"/>
      <c r="S205" s="1"/>
      <c r="T205" s="1"/>
      <c r="U205" s="1"/>
      <c r="V205" s="1"/>
      <c r="W205" s="1"/>
      <c r="X205" s="1"/>
    </row>
    <row r="206" spans="1:24" ht="12.75">
      <c r="A206" s="291" t="s">
        <v>121</v>
      </c>
      <c r="B206" s="293">
        <v>39384000</v>
      </c>
      <c r="C206" s="298">
        <v>0</v>
      </c>
      <c r="D206" s="298">
        <v>19299999.999999996</v>
      </c>
      <c r="E206" s="298">
        <v>475.09619999999995</v>
      </c>
      <c r="F206" s="342"/>
      <c r="G206" s="342"/>
      <c r="H206" s="342"/>
      <c r="I206" s="342"/>
      <c r="J206" s="342"/>
      <c r="K206" s="342"/>
      <c r="L206" s="342"/>
      <c r="M206" s="342"/>
      <c r="N206" s="342"/>
      <c r="O206" s="342"/>
      <c r="P206" s="342"/>
      <c r="Q206" s="1"/>
      <c r="R206" s="1"/>
      <c r="S206" s="1"/>
      <c r="T206" s="1"/>
      <c r="U206" s="1"/>
      <c r="V206" s="1"/>
      <c r="W206" s="1"/>
      <c r="X206" s="1"/>
    </row>
    <row r="207" spans="1:24" ht="12.75">
      <c r="A207" s="291" t="s">
        <v>72</v>
      </c>
      <c r="B207" s="293">
        <v>65717000</v>
      </c>
      <c r="C207" s="298">
        <v>472675000</v>
      </c>
      <c r="D207" s="298">
        <v>4810256150</v>
      </c>
      <c r="E207" s="298">
        <v>128723.66674000002</v>
      </c>
      <c r="F207" s="342"/>
      <c r="G207" s="342"/>
      <c r="H207" s="342"/>
      <c r="I207" s="342"/>
      <c r="J207" s="342"/>
      <c r="K207" s="342"/>
      <c r="L207" s="342"/>
      <c r="M207" s="342"/>
      <c r="N207" s="342"/>
      <c r="O207" s="342"/>
      <c r="P207" s="342"/>
      <c r="Q207" s="1"/>
      <c r="R207" s="1"/>
      <c r="S207" s="1"/>
      <c r="T207" s="1"/>
      <c r="U207" s="1"/>
      <c r="V207" s="1"/>
      <c r="W207" s="1"/>
      <c r="X207" s="1"/>
    </row>
    <row r="208" spans="1:24" ht="12.75">
      <c r="A208" s="291" t="s">
        <v>185</v>
      </c>
      <c r="B208" s="293">
        <v>1086000</v>
      </c>
      <c r="C208" s="298">
        <v>0</v>
      </c>
      <c r="D208" s="298">
        <v>0</v>
      </c>
      <c r="E208" s="353">
        <v>0</v>
      </c>
      <c r="F208" s="342"/>
      <c r="G208" s="342"/>
      <c r="H208" s="342"/>
      <c r="I208" s="342"/>
      <c r="J208" s="342"/>
      <c r="K208" s="342"/>
      <c r="L208" s="342"/>
      <c r="M208" s="342"/>
      <c r="N208" s="342"/>
      <c r="O208" s="342"/>
      <c r="P208" s="342"/>
      <c r="Q208" s="1"/>
      <c r="R208" s="1"/>
      <c r="S208" s="1"/>
      <c r="T208" s="1"/>
      <c r="U208" s="1"/>
      <c r="V208" s="1"/>
      <c r="W208" s="1"/>
      <c r="X208" s="1"/>
    </row>
    <row r="209" spans="1:24" ht="12.75">
      <c r="A209" s="291" t="s">
        <v>151</v>
      </c>
      <c r="B209" s="293">
        <v>6042000</v>
      </c>
      <c r="C209" s="298">
        <v>0</v>
      </c>
      <c r="D209" s="298">
        <v>0</v>
      </c>
      <c r="E209" s="353">
        <v>0</v>
      </c>
      <c r="F209" s="342"/>
      <c r="G209" s="342"/>
      <c r="H209" s="342"/>
      <c r="I209" s="342"/>
      <c r="J209" s="342"/>
      <c r="K209" s="342"/>
      <c r="L209" s="342"/>
      <c r="M209" s="342"/>
      <c r="N209" s="342"/>
      <c r="O209" s="342"/>
      <c r="P209" s="342"/>
      <c r="Q209" s="1"/>
      <c r="R209" s="1"/>
      <c r="S209" s="1"/>
      <c r="T209" s="1"/>
      <c r="U209" s="1"/>
      <c r="V209" s="1"/>
      <c r="W209" s="1"/>
      <c r="X209" s="1"/>
    </row>
    <row r="210" spans="1:24" ht="12.75">
      <c r="A210" s="291" t="s">
        <v>178</v>
      </c>
      <c r="B210" s="293">
        <v>117000</v>
      </c>
      <c r="C210" s="298">
        <v>0</v>
      </c>
      <c r="D210" s="298">
        <v>0</v>
      </c>
      <c r="E210" s="353">
        <v>0</v>
      </c>
      <c r="F210" s="342"/>
      <c r="G210" s="342"/>
      <c r="H210" s="342"/>
      <c r="I210" s="342"/>
      <c r="J210" s="342"/>
      <c r="K210" s="342"/>
      <c r="L210" s="342"/>
      <c r="M210" s="342"/>
      <c r="N210" s="342"/>
      <c r="O210" s="342"/>
      <c r="P210" s="342"/>
      <c r="Q210" s="1"/>
      <c r="R210" s="1"/>
      <c r="S210" s="1"/>
      <c r="T210" s="1"/>
      <c r="U210" s="1"/>
      <c r="V210" s="1"/>
      <c r="W210" s="1"/>
      <c r="X210" s="1"/>
    </row>
    <row r="211" spans="1:24" ht="12.75">
      <c r="A211" s="291" t="s">
        <v>103</v>
      </c>
      <c r="B211" s="293">
        <v>1233000</v>
      </c>
      <c r="C211" s="298">
        <v>333975000</v>
      </c>
      <c r="D211" s="298">
        <v>5065583600</v>
      </c>
      <c r="E211" s="353">
        <v>0</v>
      </c>
      <c r="F211" s="342"/>
      <c r="G211" s="342"/>
      <c r="H211" s="342"/>
      <c r="I211" s="342"/>
      <c r="J211" s="342"/>
      <c r="K211" s="342"/>
      <c r="L211" s="342"/>
      <c r="M211" s="342"/>
      <c r="N211" s="342"/>
      <c r="O211" s="342"/>
      <c r="P211" s="342"/>
      <c r="Q211" s="1"/>
      <c r="R211" s="1"/>
      <c r="S211" s="1"/>
      <c r="T211" s="1"/>
      <c r="U211" s="1"/>
      <c r="V211" s="1"/>
      <c r="W211" s="1"/>
      <c r="X211" s="1"/>
    </row>
    <row r="212" spans="1:24" ht="12.75">
      <c r="A212" s="291" t="s">
        <v>78</v>
      </c>
      <c r="B212" s="293">
        <v>10281000</v>
      </c>
      <c r="C212" s="298">
        <v>158775000</v>
      </c>
      <c r="D212" s="298">
        <v>591526249.9999999</v>
      </c>
      <c r="E212" s="353">
        <v>0</v>
      </c>
      <c r="F212" s="342"/>
      <c r="G212" s="342"/>
      <c r="H212" s="342"/>
      <c r="I212" s="342"/>
      <c r="J212" s="342"/>
      <c r="K212" s="342"/>
      <c r="L212" s="342"/>
      <c r="M212" s="342"/>
      <c r="N212" s="342"/>
      <c r="O212" s="342"/>
      <c r="P212" s="342"/>
      <c r="Q212" s="1"/>
      <c r="R212" s="1"/>
      <c r="S212" s="1"/>
      <c r="T212" s="1"/>
      <c r="U212" s="1"/>
      <c r="V212" s="1"/>
      <c r="W212" s="1"/>
      <c r="X212" s="1"/>
    </row>
    <row r="213" spans="1:24" ht="12.75">
      <c r="A213" s="291" t="s">
        <v>81</v>
      </c>
      <c r="B213" s="293">
        <v>74768000</v>
      </c>
      <c r="C213" s="298">
        <v>0</v>
      </c>
      <c r="D213" s="298">
        <v>127769680</v>
      </c>
      <c r="E213" s="298">
        <v>366660.72518999997</v>
      </c>
      <c r="F213" s="342"/>
      <c r="G213" s="342"/>
      <c r="H213" s="342"/>
      <c r="I213" s="342"/>
      <c r="J213" s="342"/>
      <c r="K213" s="342"/>
      <c r="L213" s="342"/>
      <c r="M213" s="342"/>
      <c r="N213" s="342"/>
      <c r="O213" s="342"/>
      <c r="P213" s="342"/>
      <c r="Q213" s="1"/>
      <c r="R213" s="1"/>
      <c r="S213" s="1"/>
      <c r="T213" s="1"/>
      <c r="U213" s="1"/>
      <c r="V213" s="1"/>
      <c r="W213" s="1"/>
      <c r="X213" s="1"/>
    </row>
    <row r="214" spans="1:24" ht="12.75">
      <c r="A214" s="291" t="s">
        <v>14</v>
      </c>
      <c r="B214" s="293">
        <v>4774000</v>
      </c>
      <c r="C214" s="298">
        <v>392375000</v>
      </c>
      <c r="D214" s="298">
        <v>11614044049.999998</v>
      </c>
      <c r="E214" s="353">
        <v>0</v>
      </c>
      <c r="F214" s="342"/>
      <c r="G214" s="342"/>
      <c r="H214" s="342"/>
      <c r="I214" s="342"/>
      <c r="J214" s="342"/>
      <c r="K214" s="342"/>
      <c r="L214" s="342"/>
      <c r="M214" s="342"/>
      <c r="N214" s="342"/>
      <c r="O214" s="342"/>
      <c r="P214" s="342"/>
      <c r="Q214" s="1"/>
      <c r="R214" s="1"/>
      <c r="S214" s="1"/>
      <c r="T214" s="1"/>
      <c r="U214" s="1"/>
      <c r="V214" s="1"/>
      <c r="W214" s="1"/>
      <c r="X214" s="1"/>
    </row>
    <row r="215" spans="1:24" ht="12.75">
      <c r="A215" s="291" t="s">
        <v>115</v>
      </c>
      <c r="B215" s="293">
        <v>30263000</v>
      </c>
      <c r="C215" s="298">
        <v>0</v>
      </c>
      <c r="D215" s="298">
        <v>0</v>
      </c>
      <c r="E215" s="353">
        <v>0</v>
      </c>
      <c r="F215" s="342"/>
      <c r="G215" s="342"/>
      <c r="H215" s="342"/>
      <c r="I215" s="342"/>
      <c r="J215" s="342"/>
      <c r="K215" s="342"/>
      <c r="L215" s="342"/>
      <c r="M215" s="342"/>
      <c r="N215" s="342"/>
      <c r="O215" s="342"/>
      <c r="P215" s="342"/>
      <c r="Q215" s="1"/>
      <c r="R215" s="1"/>
      <c r="S215" s="1"/>
      <c r="T215" s="1"/>
      <c r="U215" s="1"/>
      <c r="V215" s="1"/>
      <c r="W215" s="1"/>
      <c r="X215" s="1"/>
    </row>
    <row r="216" spans="1:24" ht="12.75">
      <c r="A216" s="291" t="s">
        <v>15</v>
      </c>
      <c r="B216" s="293">
        <v>46300000</v>
      </c>
      <c r="C216" s="298">
        <v>0</v>
      </c>
      <c r="D216" s="298">
        <v>3980000500</v>
      </c>
      <c r="E216" s="298">
        <v>407662.29853999993</v>
      </c>
      <c r="F216" s="342"/>
      <c r="G216" s="342"/>
      <c r="H216" s="342"/>
      <c r="I216" s="342"/>
      <c r="J216" s="342"/>
      <c r="K216" s="342"/>
      <c r="L216" s="342"/>
      <c r="M216" s="342"/>
      <c r="N216" s="342"/>
      <c r="O216" s="342"/>
      <c r="P216" s="342"/>
      <c r="Q216" s="1"/>
      <c r="R216" s="1"/>
      <c r="S216" s="1"/>
      <c r="T216" s="1"/>
      <c r="U216" s="1"/>
      <c r="V216" s="1"/>
      <c r="W216" s="1"/>
      <c r="X216" s="1"/>
    </row>
    <row r="217" spans="1:24" ht="12.75">
      <c r="A217" s="291" t="s">
        <v>145</v>
      </c>
      <c r="B217" s="293">
        <v>4444000</v>
      </c>
      <c r="C217" s="298">
        <v>5871390000</v>
      </c>
      <c r="D217" s="298">
        <v>13240299800</v>
      </c>
      <c r="E217" s="353">
        <v>0</v>
      </c>
      <c r="F217" s="342"/>
      <c r="G217" s="342"/>
      <c r="H217" s="342"/>
      <c r="I217" s="342"/>
      <c r="J217" s="342"/>
      <c r="K217" s="342"/>
      <c r="L217" s="342"/>
      <c r="M217" s="342"/>
      <c r="N217" s="342"/>
      <c r="O217" s="342"/>
      <c r="P217" s="342"/>
      <c r="Q217" s="1"/>
      <c r="R217" s="1"/>
      <c r="S217" s="1"/>
      <c r="T217" s="1"/>
      <c r="U217" s="1"/>
      <c r="V217" s="1"/>
      <c r="W217" s="1"/>
      <c r="X217" s="1"/>
    </row>
    <row r="218" spans="1:24" ht="12.75">
      <c r="A218" s="291" t="s">
        <v>28</v>
      </c>
      <c r="B218" s="293">
        <v>61506000</v>
      </c>
      <c r="C218" s="298">
        <v>5000500000</v>
      </c>
      <c r="D218" s="298">
        <v>23151807699.999996</v>
      </c>
      <c r="E218" s="298">
        <v>180728.35664</v>
      </c>
      <c r="F218" s="342"/>
      <c r="G218" s="342"/>
      <c r="H218" s="342"/>
      <c r="I218" s="342"/>
      <c r="J218" s="342"/>
      <c r="K218" s="342"/>
      <c r="L218" s="342"/>
      <c r="M218" s="342"/>
      <c r="N218" s="342"/>
      <c r="O218" s="342"/>
      <c r="P218" s="342"/>
      <c r="Q218" s="1"/>
      <c r="R218" s="1"/>
      <c r="S218" s="1"/>
      <c r="T218" s="1"/>
      <c r="U218" s="1"/>
      <c r="V218" s="1"/>
      <c r="W218" s="1"/>
      <c r="X218" s="1"/>
    </row>
    <row r="219" spans="1:24" ht="12.75">
      <c r="A219" s="291" t="s">
        <v>287</v>
      </c>
      <c r="B219" s="293">
        <v>301580000</v>
      </c>
      <c r="C219" s="298">
        <v>16261115000</v>
      </c>
      <c r="D219" s="298">
        <v>144162000000</v>
      </c>
      <c r="E219" s="298">
        <v>6610932.970000001</v>
      </c>
      <c r="F219" s="342"/>
      <c r="G219" s="342"/>
      <c r="H219" s="342"/>
      <c r="I219" s="342"/>
      <c r="J219" s="342"/>
      <c r="K219" s="342"/>
      <c r="L219" s="342"/>
      <c r="M219" s="342"/>
      <c r="N219" s="342"/>
      <c r="O219" s="342"/>
      <c r="P219" s="342"/>
      <c r="Q219" s="1"/>
      <c r="R219" s="1"/>
      <c r="S219" s="1"/>
      <c r="T219" s="1"/>
      <c r="U219" s="1"/>
      <c r="V219" s="1"/>
      <c r="W219" s="1"/>
      <c r="X219" s="1"/>
    </row>
    <row r="220" spans="1:24" ht="12.75">
      <c r="A220" s="291" t="s">
        <v>86</v>
      </c>
      <c r="B220" s="293">
        <v>3461000</v>
      </c>
      <c r="C220" s="298">
        <v>0</v>
      </c>
      <c r="D220" s="298">
        <v>0</v>
      </c>
      <c r="E220" s="353">
        <v>0</v>
      </c>
      <c r="F220" s="342"/>
      <c r="G220" s="342"/>
      <c r="H220" s="342"/>
      <c r="I220" s="342"/>
      <c r="J220" s="342"/>
      <c r="K220" s="342"/>
      <c r="L220" s="342"/>
      <c r="M220" s="342"/>
      <c r="N220" s="342"/>
      <c r="O220" s="342"/>
      <c r="P220" s="342"/>
      <c r="Q220" s="1"/>
      <c r="R220" s="1"/>
      <c r="S220" s="1"/>
      <c r="T220" s="1"/>
      <c r="U220" s="1"/>
      <c r="V220" s="1"/>
      <c r="W220" s="1"/>
      <c r="X220" s="1"/>
    </row>
    <row r="221" spans="1:24" ht="12.75">
      <c r="A221" s="291" t="s">
        <v>138</v>
      </c>
      <c r="B221" s="293">
        <v>27079000</v>
      </c>
      <c r="C221" s="298">
        <v>351495000</v>
      </c>
      <c r="D221" s="298">
        <v>12509667770</v>
      </c>
      <c r="E221" s="298">
        <v>17405.49636</v>
      </c>
      <c r="F221" s="342"/>
      <c r="G221" s="342"/>
      <c r="H221" s="342"/>
      <c r="I221" s="342"/>
      <c r="J221" s="342"/>
      <c r="K221" s="342"/>
      <c r="L221" s="342"/>
      <c r="M221" s="342"/>
      <c r="N221" s="342"/>
      <c r="O221" s="342"/>
      <c r="P221" s="342"/>
      <c r="Q221" s="1"/>
      <c r="R221" s="1"/>
      <c r="S221" s="1"/>
      <c r="T221" s="1"/>
      <c r="U221" s="1"/>
      <c r="V221" s="1"/>
      <c r="W221" s="1"/>
      <c r="X221" s="1"/>
    </row>
    <row r="222" spans="1:24" ht="12.75">
      <c r="A222" s="291" t="s">
        <v>182</v>
      </c>
      <c r="B222" s="293">
        <v>212000</v>
      </c>
      <c r="C222" s="298">
        <v>0</v>
      </c>
      <c r="D222" s="298">
        <v>0</v>
      </c>
      <c r="E222" s="353">
        <v>0</v>
      </c>
      <c r="F222" s="342"/>
      <c r="G222" s="342"/>
      <c r="H222" s="342"/>
      <c r="I222" s="342"/>
      <c r="J222" s="342"/>
      <c r="K222" s="342"/>
      <c r="L222" s="342"/>
      <c r="M222" s="342"/>
      <c r="N222" s="342"/>
      <c r="O222" s="342"/>
      <c r="P222" s="342"/>
      <c r="Q222" s="1"/>
      <c r="R222" s="1"/>
      <c r="S222" s="1"/>
      <c r="T222" s="1"/>
      <c r="U222" s="1"/>
      <c r="V222" s="1"/>
      <c r="W222" s="1"/>
      <c r="X222" s="1"/>
    </row>
    <row r="223" spans="1:24" ht="12.75">
      <c r="A223" s="291" t="s">
        <v>70</v>
      </c>
      <c r="B223" s="293">
        <v>26024000</v>
      </c>
      <c r="C223" s="298">
        <v>6451010000</v>
      </c>
      <c r="D223" s="298">
        <v>12450303250</v>
      </c>
      <c r="E223" s="298">
        <v>47833.754250000005</v>
      </c>
      <c r="F223" s="342"/>
      <c r="G223" s="342"/>
      <c r="H223" s="342"/>
      <c r="I223" s="342"/>
      <c r="J223" s="342"/>
      <c r="K223" s="342"/>
      <c r="L223" s="342"/>
      <c r="M223" s="342"/>
      <c r="N223" s="342"/>
      <c r="O223" s="342"/>
      <c r="P223" s="342"/>
      <c r="Q223" s="1"/>
      <c r="R223" s="1"/>
      <c r="S223" s="1"/>
      <c r="T223" s="1"/>
      <c r="U223" s="1"/>
      <c r="V223" s="1"/>
      <c r="W223" s="1"/>
      <c r="X223" s="1"/>
    </row>
    <row r="224" spans="1:24" ht="12.75">
      <c r="A224" s="291" t="s">
        <v>205</v>
      </c>
      <c r="B224" s="293">
        <v>86519000</v>
      </c>
      <c r="C224" s="298">
        <v>810665000</v>
      </c>
      <c r="D224" s="298">
        <v>611302650.0000001</v>
      </c>
      <c r="E224" s="298">
        <v>126839.66119999999</v>
      </c>
      <c r="F224" s="342"/>
      <c r="G224" s="342"/>
      <c r="H224" s="342"/>
      <c r="I224" s="342"/>
      <c r="J224" s="342"/>
      <c r="K224" s="342"/>
      <c r="L224" s="342"/>
      <c r="M224" s="342"/>
      <c r="N224" s="342"/>
      <c r="O224" s="342"/>
      <c r="P224" s="342"/>
      <c r="Q224" s="1"/>
      <c r="R224" s="1"/>
      <c r="S224" s="1"/>
      <c r="T224" s="1"/>
      <c r="U224" s="1"/>
      <c r="V224" s="1"/>
      <c r="W224" s="1"/>
      <c r="X224" s="1"/>
    </row>
    <row r="225" spans="1:24" ht="12.75">
      <c r="A225" s="291" t="s">
        <v>181</v>
      </c>
      <c r="B225" s="293">
        <v>445000</v>
      </c>
      <c r="C225" s="298">
        <v>0</v>
      </c>
      <c r="D225" s="298">
        <v>0</v>
      </c>
      <c r="E225" s="353">
        <v>0</v>
      </c>
      <c r="F225" s="342"/>
      <c r="G225" s="342"/>
      <c r="H225" s="342"/>
      <c r="I225" s="342"/>
      <c r="J225" s="342"/>
      <c r="K225" s="342"/>
      <c r="L225" s="342"/>
      <c r="M225" s="342"/>
      <c r="N225" s="342"/>
      <c r="O225" s="342"/>
      <c r="P225" s="342"/>
      <c r="Q225" s="1"/>
      <c r="R225" s="1"/>
      <c r="S225" s="1"/>
      <c r="T225" s="1"/>
      <c r="U225" s="1"/>
      <c r="V225" s="1"/>
      <c r="W225" s="1"/>
      <c r="X225" s="1"/>
    </row>
    <row r="226" spans="1:24" ht="12.75">
      <c r="A226" s="291" t="s">
        <v>119</v>
      </c>
      <c r="B226" s="293">
        <v>21591000</v>
      </c>
      <c r="C226" s="298">
        <v>965790000</v>
      </c>
      <c r="D226" s="298">
        <v>4220142500</v>
      </c>
      <c r="E226" s="353">
        <v>0</v>
      </c>
      <c r="F226" s="342"/>
      <c r="G226" s="342"/>
      <c r="H226" s="342"/>
      <c r="I226" s="342"/>
      <c r="J226" s="342"/>
      <c r="K226" s="342"/>
      <c r="L226" s="342"/>
      <c r="M226" s="342"/>
      <c r="N226" s="342"/>
      <c r="O226" s="342"/>
      <c r="P226" s="342"/>
      <c r="Q226" s="1"/>
      <c r="R226" s="1"/>
      <c r="S226" s="1"/>
      <c r="T226" s="1"/>
      <c r="U226" s="1"/>
      <c r="V226" s="1"/>
      <c r="W226" s="1"/>
      <c r="X226" s="1"/>
    </row>
    <row r="227" spans="1:24" ht="12.75">
      <c r="A227" s="291" t="s">
        <v>125</v>
      </c>
      <c r="B227" s="293">
        <v>12341000</v>
      </c>
      <c r="C227" s="298">
        <v>0</v>
      </c>
      <c r="D227" s="298">
        <v>0</v>
      </c>
      <c r="E227" s="298">
        <v>1214.74711</v>
      </c>
      <c r="F227" s="342"/>
      <c r="G227" s="342"/>
      <c r="H227" s="342"/>
      <c r="I227" s="342"/>
      <c r="J227" s="342"/>
      <c r="K227" s="342"/>
      <c r="L227" s="342"/>
      <c r="M227" s="342"/>
      <c r="N227" s="342"/>
      <c r="O227" s="342"/>
      <c r="P227" s="342"/>
      <c r="Q227" s="1"/>
      <c r="R227" s="1"/>
      <c r="S227" s="1"/>
      <c r="T227" s="1"/>
      <c r="U227" s="1"/>
      <c r="V227" s="1"/>
      <c r="W227" s="1"/>
      <c r="X227" s="1"/>
    </row>
    <row r="228" spans="1:24" ht="12.75">
      <c r="A228" s="291" t="s">
        <v>122</v>
      </c>
      <c r="B228" s="293">
        <v>11443000</v>
      </c>
      <c r="C228" s="298">
        <v>0</v>
      </c>
      <c r="D228" s="298">
        <v>0</v>
      </c>
      <c r="E228" s="298">
        <v>25301.35264</v>
      </c>
      <c r="F228" s="342"/>
      <c r="G228" s="342"/>
      <c r="H228" s="342"/>
      <c r="I228" s="342"/>
      <c r="J228" s="342"/>
      <c r="K228" s="342"/>
      <c r="L228" s="342"/>
      <c r="M228" s="342"/>
      <c r="N228" s="342"/>
      <c r="O228" s="342"/>
      <c r="P228" s="342"/>
      <c r="Q228" s="1"/>
      <c r="R228" s="1"/>
      <c r="S228" s="1"/>
      <c r="T228" s="1"/>
      <c r="U228" s="1"/>
      <c r="V228" s="1"/>
      <c r="W228" s="1"/>
      <c r="X228" s="1"/>
    </row>
    <row r="229" spans="1:24" ht="12.75">
      <c r="A229" s="291" t="s">
        <v>407</v>
      </c>
      <c r="B229" s="293">
        <v>6846400010</v>
      </c>
      <c r="C229" s="293">
        <v>166786954035</v>
      </c>
      <c r="D229" s="293">
        <v>694421701840</v>
      </c>
      <c r="E229" s="293">
        <v>33772446.340969995</v>
      </c>
      <c r="F229" s="342"/>
      <c r="G229" s="342"/>
      <c r="H229" s="342"/>
      <c r="I229" s="342"/>
      <c r="J229" s="342"/>
      <c r="K229" s="342"/>
      <c r="L229" s="342"/>
      <c r="M229" s="342"/>
      <c r="N229" s="342"/>
      <c r="O229" s="342"/>
      <c r="P229" s="342"/>
      <c r="Q229" s="1"/>
      <c r="R229" s="1"/>
      <c r="S229" s="1"/>
      <c r="T229" s="1"/>
      <c r="U229" s="1"/>
      <c r="V229" s="1"/>
      <c r="W229" s="1"/>
      <c r="X229" s="1"/>
    </row>
    <row r="230" spans="17:24" ht="12.75">
      <c r="Q230" s="1"/>
      <c r="R230" s="1"/>
      <c r="S230" s="1"/>
      <c r="T230" s="1"/>
      <c r="U230" s="1"/>
      <c r="V230" s="1"/>
      <c r="W230" s="1"/>
      <c r="X230" s="1"/>
    </row>
  </sheetData>
  <sheetProtection/>
  <hyperlinks>
    <hyperlink ref="A3" r:id="rId1" display="Kilder"/>
  </hyperlinks>
  <printOptions/>
  <pageMargins left="0.7" right="0.7" top="0.75" bottom="0.75" header="0.3" footer="0.3"/>
  <pageSetup horizontalDpi="300" verticalDpi="300" orientation="portrait" paperSize="9" r:id="rId4"/>
  <legacyDrawing r:id="rId3"/>
</worksheet>
</file>

<file path=xl/worksheets/sheet8.xml><?xml version="1.0" encoding="utf-8"?>
<worksheet xmlns="http://schemas.openxmlformats.org/spreadsheetml/2006/main" xmlns:r="http://schemas.openxmlformats.org/officeDocument/2006/relationships">
  <sheetPr>
    <tabColor theme="2" tint="-0.24997000396251678"/>
  </sheetPr>
  <dimension ref="A1:Z243"/>
  <sheetViews>
    <sheetView zoomScalePageLayoutView="0" workbookViewId="0" topLeftCell="A1">
      <selection activeCell="A2" sqref="A2:C2"/>
    </sheetView>
  </sheetViews>
  <sheetFormatPr defaultColWidth="9.140625" defaultRowHeight="12.75"/>
  <cols>
    <col min="1" max="1" width="20.57421875" style="0" customWidth="1"/>
    <col min="8" max="21" width="9.140625" style="0" hidden="1" customWidth="1"/>
    <col min="23" max="23" width="12.140625" style="0" customWidth="1"/>
  </cols>
  <sheetData>
    <row r="1" spans="1:22" ht="12.75">
      <c r="A1" s="115" t="s">
        <v>433</v>
      </c>
      <c r="V1" s="31"/>
    </row>
    <row r="2" spans="1:22" ht="12.75">
      <c r="A2" s="314" t="s">
        <v>430</v>
      </c>
      <c r="C2" s="1"/>
      <c r="V2" s="31"/>
    </row>
    <row r="3" spans="1:22" ht="12.75">
      <c r="A3" s="336" t="s">
        <v>203</v>
      </c>
      <c r="V3" s="31"/>
    </row>
    <row r="4" spans="1:26" ht="12.75">
      <c r="A4" s="1"/>
      <c r="B4" s="1"/>
      <c r="C4" s="1"/>
      <c r="D4" s="1"/>
      <c r="E4" s="181"/>
      <c r="F4" s="388"/>
      <c r="G4" s="4"/>
      <c r="H4" s="4"/>
      <c r="I4" s="1"/>
      <c r="J4" s="1"/>
      <c r="K4" s="1"/>
      <c r="L4" s="1"/>
      <c r="M4" s="1"/>
      <c r="N4" s="1"/>
      <c r="O4" s="1"/>
      <c r="P4" s="1"/>
      <c r="Q4" s="1"/>
      <c r="R4" s="1"/>
      <c r="S4" s="1"/>
      <c r="T4" s="1"/>
      <c r="U4" s="1"/>
      <c r="V4" s="10"/>
      <c r="W4" s="1"/>
      <c r="X4" s="1"/>
      <c r="Y4" s="10"/>
      <c r="Z4" s="1"/>
    </row>
    <row r="5" spans="1:25" ht="12.75">
      <c r="A5" s="334" t="s">
        <v>288</v>
      </c>
      <c r="B5" s="337"/>
      <c r="C5" s="337"/>
      <c r="D5" s="337"/>
      <c r="E5" s="337"/>
      <c r="F5" s="337"/>
      <c r="G5" s="313" t="s">
        <v>292</v>
      </c>
      <c r="H5" s="337"/>
      <c r="I5" s="337"/>
      <c r="J5" s="337"/>
      <c r="K5" s="337"/>
      <c r="L5" s="337"/>
      <c r="M5" s="337"/>
      <c r="N5" s="337"/>
      <c r="O5" s="337"/>
      <c r="P5" s="337"/>
      <c r="Q5" s="337"/>
      <c r="R5" s="337"/>
      <c r="S5" s="337"/>
      <c r="T5" s="337"/>
      <c r="U5" s="337"/>
      <c r="V5" s="337"/>
      <c r="W5" s="337"/>
      <c r="X5" s="337"/>
      <c r="Y5" s="352"/>
    </row>
    <row r="6" spans="1:26" ht="12.75">
      <c r="A6" s="331"/>
      <c r="B6" s="287">
        <v>2000</v>
      </c>
      <c r="C6" s="287">
        <v>2001</v>
      </c>
      <c r="D6" s="287">
        <v>2002</v>
      </c>
      <c r="E6" s="287">
        <v>2003</v>
      </c>
      <c r="F6" s="287">
        <v>2004</v>
      </c>
      <c r="G6" s="287">
        <v>2005</v>
      </c>
      <c r="H6" s="287">
        <v>2006</v>
      </c>
      <c r="I6" s="287">
        <v>2007</v>
      </c>
      <c r="J6" s="287">
        <v>2008</v>
      </c>
      <c r="K6" s="287">
        <v>2009</v>
      </c>
      <c r="L6" s="287">
        <v>2010</v>
      </c>
      <c r="M6" s="287">
        <v>2011</v>
      </c>
      <c r="N6" s="287">
        <v>2012</v>
      </c>
      <c r="O6" s="287">
        <v>2013</v>
      </c>
      <c r="P6" s="287">
        <v>2014</v>
      </c>
      <c r="Q6" s="287">
        <v>2015</v>
      </c>
      <c r="R6" s="287">
        <v>2016</v>
      </c>
      <c r="S6" s="287">
        <v>2017</v>
      </c>
      <c r="T6" s="287">
        <v>2018</v>
      </c>
      <c r="U6" s="287">
        <v>2019</v>
      </c>
      <c r="V6" s="287" t="s">
        <v>225</v>
      </c>
      <c r="W6" s="287" t="s">
        <v>257</v>
      </c>
      <c r="X6" s="287" t="s">
        <v>224</v>
      </c>
      <c r="Y6" s="330"/>
      <c r="Z6" s="5"/>
    </row>
    <row r="7" spans="1:26" ht="12.75">
      <c r="A7" s="341" t="s">
        <v>240</v>
      </c>
      <c r="B7" s="289" t="s">
        <v>228</v>
      </c>
      <c r="C7" s="289" t="s">
        <v>228</v>
      </c>
      <c r="D7" s="289" t="s">
        <v>228</v>
      </c>
      <c r="E7" s="289" t="s">
        <v>228</v>
      </c>
      <c r="F7" s="289" t="s">
        <v>228</v>
      </c>
      <c r="G7" s="289" t="s">
        <v>228</v>
      </c>
      <c r="H7" s="289" t="s">
        <v>228</v>
      </c>
      <c r="I7" s="289" t="s">
        <v>228</v>
      </c>
      <c r="J7" s="289" t="s">
        <v>228</v>
      </c>
      <c r="K7" s="289" t="s">
        <v>228</v>
      </c>
      <c r="L7" s="289" t="s">
        <v>228</v>
      </c>
      <c r="M7" s="289" t="s">
        <v>228</v>
      </c>
      <c r="N7" s="289" t="s">
        <v>228</v>
      </c>
      <c r="O7" s="289" t="s">
        <v>228</v>
      </c>
      <c r="P7" s="289" t="s">
        <v>228</v>
      </c>
      <c r="Q7" s="289" t="s">
        <v>228</v>
      </c>
      <c r="R7" s="289" t="s">
        <v>228</v>
      </c>
      <c r="S7" s="289" t="s">
        <v>228</v>
      </c>
      <c r="T7" s="289" t="s">
        <v>228</v>
      </c>
      <c r="U7" s="289" t="s">
        <v>228</v>
      </c>
      <c r="V7" s="289" t="s">
        <v>228</v>
      </c>
      <c r="W7" s="289">
        <v>2010</v>
      </c>
      <c r="X7" s="289" t="s">
        <v>258</v>
      </c>
      <c r="Y7" s="31"/>
      <c r="Z7" s="5"/>
    </row>
    <row r="8" spans="1:26" ht="12.75">
      <c r="A8" s="321" t="s">
        <v>187</v>
      </c>
      <c r="B8" s="295"/>
      <c r="C8" s="295"/>
      <c r="D8" s="295"/>
      <c r="E8" s="295"/>
      <c r="F8" s="295"/>
      <c r="G8" s="295"/>
      <c r="H8" s="295"/>
      <c r="I8" s="295"/>
      <c r="J8" s="295"/>
      <c r="K8" s="295"/>
      <c r="L8" s="295"/>
      <c r="M8" s="353"/>
      <c r="N8" s="353"/>
      <c r="O8" s="353"/>
      <c r="P8" s="353"/>
      <c r="Q8" s="353"/>
      <c r="R8" s="353"/>
      <c r="S8" s="353"/>
      <c r="T8" s="353"/>
      <c r="U8" s="353"/>
      <c r="V8" s="618"/>
      <c r="W8" s="617"/>
      <c r="X8" s="619"/>
      <c r="Y8" s="10"/>
      <c r="Z8" s="5"/>
    </row>
    <row r="9" spans="1:26" ht="12.75">
      <c r="A9" s="321" t="s">
        <v>35</v>
      </c>
      <c r="B9" s="295"/>
      <c r="C9" s="295"/>
      <c r="D9" s="295"/>
      <c r="E9" s="295"/>
      <c r="F9" s="295"/>
      <c r="G9" s="295"/>
      <c r="H9" s="295"/>
      <c r="I9" s="295"/>
      <c r="J9" s="295"/>
      <c r="K9" s="295"/>
      <c r="L9" s="295"/>
      <c r="M9" s="353"/>
      <c r="N9" s="353"/>
      <c r="O9" s="353"/>
      <c r="P9" s="353"/>
      <c r="Q9" s="353"/>
      <c r="R9" s="353"/>
      <c r="S9" s="353"/>
      <c r="T9" s="353"/>
      <c r="U9" s="353"/>
      <c r="V9" s="618"/>
      <c r="W9" s="617"/>
      <c r="X9" s="619"/>
      <c r="Y9" s="10"/>
      <c r="Z9" s="5"/>
    </row>
    <row r="10" spans="1:26" ht="12.75">
      <c r="A10" s="321" t="s">
        <v>51</v>
      </c>
      <c r="B10" s="378"/>
      <c r="C10" s="295"/>
      <c r="D10" s="295"/>
      <c r="E10" s="295"/>
      <c r="F10" s="295"/>
      <c r="G10" s="317"/>
      <c r="H10" s="317"/>
      <c r="I10" s="295"/>
      <c r="J10" s="295"/>
      <c r="K10" s="295"/>
      <c r="L10" s="295"/>
      <c r="M10" s="353"/>
      <c r="N10" s="353"/>
      <c r="O10" s="353"/>
      <c r="P10" s="353"/>
      <c r="Q10" s="353"/>
      <c r="R10" s="353"/>
      <c r="S10" s="353"/>
      <c r="T10" s="353"/>
      <c r="U10" s="353"/>
      <c r="V10" s="620"/>
      <c r="W10" s="617"/>
      <c r="X10" s="619"/>
      <c r="Y10" s="10"/>
      <c r="Z10" s="5"/>
    </row>
    <row r="11" spans="1:26" ht="12.75">
      <c r="A11" s="321" t="s">
        <v>152</v>
      </c>
      <c r="B11" s="378"/>
      <c r="C11" s="295"/>
      <c r="D11" s="295"/>
      <c r="E11" s="295"/>
      <c r="F11" s="295"/>
      <c r="G11" s="317"/>
      <c r="H11" s="317"/>
      <c r="I11" s="295"/>
      <c r="J11" s="295"/>
      <c r="K11" s="295"/>
      <c r="L11" s="295"/>
      <c r="M11" s="353"/>
      <c r="N11" s="353"/>
      <c r="O11" s="353"/>
      <c r="P11" s="353"/>
      <c r="Q11" s="353"/>
      <c r="R11" s="353"/>
      <c r="S11" s="353"/>
      <c r="T11" s="353"/>
      <c r="U11" s="353"/>
      <c r="V11" s="620"/>
      <c r="W11" s="617"/>
      <c r="X11" s="619"/>
      <c r="Y11" s="10"/>
      <c r="Z11" s="5"/>
    </row>
    <row r="12" spans="1:26" ht="12.75">
      <c r="A12" s="321" t="s">
        <v>39</v>
      </c>
      <c r="B12" s="378"/>
      <c r="C12" s="295"/>
      <c r="D12" s="295"/>
      <c r="E12" s="295"/>
      <c r="F12" s="295"/>
      <c r="G12" s="317"/>
      <c r="H12" s="317"/>
      <c r="I12" s="295"/>
      <c r="J12" s="295"/>
      <c r="K12" s="295"/>
      <c r="L12" s="295"/>
      <c r="M12" s="353"/>
      <c r="N12" s="353"/>
      <c r="O12" s="353"/>
      <c r="P12" s="353"/>
      <c r="Q12" s="353"/>
      <c r="R12" s="353"/>
      <c r="S12" s="353"/>
      <c r="T12" s="353"/>
      <c r="U12" s="353"/>
      <c r="V12" s="620"/>
      <c r="W12" s="617"/>
      <c r="X12" s="619"/>
      <c r="Y12" s="10"/>
      <c r="Z12" s="5"/>
    </row>
    <row r="13" spans="1:26" ht="12.75">
      <c r="A13" s="321" t="s">
        <v>75</v>
      </c>
      <c r="B13" s="295">
        <v>6</v>
      </c>
      <c r="C13" s="295">
        <v>6.5</v>
      </c>
      <c r="D13" s="295">
        <v>5.4</v>
      </c>
      <c r="E13" s="377">
        <v>5.4</v>
      </c>
      <c r="F13" s="377">
        <v>6.4</v>
      </c>
      <c r="G13" s="295">
        <v>6.4</v>
      </c>
      <c r="H13" s="295"/>
      <c r="I13" s="295"/>
      <c r="J13" s="295"/>
      <c r="K13" s="295"/>
      <c r="L13" s="295"/>
      <c r="M13" s="353"/>
      <c r="N13" s="353"/>
      <c r="O13" s="353"/>
      <c r="P13" s="353"/>
      <c r="Q13" s="353"/>
      <c r="R13" s="353"/>
      <c r="S13" s="353"/>
      <c r="T13" s="353"/>
      <c r="U13" s="353"/>
      <c r="V13" s="618">
        <f>SUM(B13:U13)/6</f>
        <v>6.016666666666666</v>
      </c>
      <c r="W13" s="617">
        <v>40049000</v>
      </c>
      <c r="X13" s="619">
        <f>V13/W13*2.5*100000</f>
        <v>0.03755815792321073</v>
      </c>
      <c r="Y13" s="10"/>
      <c r="Z13" s="5"/>
    </row>
    <row r="14" spans="1:26" ht="12.75">
      <c r="A14" s="321" t="s">
        <v>80</v>
      </c>
      <c r="B14" s="295">
        <v>1.8</v>
      </c>
      <c r="C14" s="295">
        <v>2</v>
      </c>
      <c r="D14" s="295">
        <v>2.1</v>
      </c>
      <c r="E14" s="377">
        <v>2.1</v>
      </c>
      <c r="F14" s="377">
        <v>2.5</v>
      </c>
      <c r="G14" s="295">
        <v>2.5</v>
      </c>
      <c r="H14" s="295"/>
      <c r="I14" s="295"/>
      <c r="J14" s="295"/>
      <c r="K14" s="295"/>
      <c r="L14" s="295"/>
      <c r="M14" s="353"/>
      <c r="N14" s="353"/>
      <c r="O14" s="353"/>
      <c r="P14" s="353"/>
      <c r="Q14" s="353"/>
      <c r="R14" s="353"/>
      <c r="S14" s="353"/>
      <c r="T14" s="353"/>
      <c r="U14" s="353"/>
      <c r="V14" s="618">
        <f>SUM(B14:U14)/6</f>
        <v>2.1666666666666665</v>
      </c>
      <c r="W14" s="617">
        <v>2972000</v>
      </c>
      <c r="X14" s="619">
        <f>V14/W14*2.5*100000</f>
        <v>0.1822566173171826</v>
      </c>
      <c r="Y14" s="10"/>
      <c r="Z14" s="5"/>
    </row>
    <row r="15" spans="1:26" ht="12.75">
      <c r="A15" s="321" t="s">
        <v>160</v>
      </c>
      <c r="B15" s="378"/>
      <c r="C15" s="295"/>
      <c r="D15" s="295"/>
      <c r="E15" s="295"/>
      <c r="F15" s="295"/>
      <c r="G15" s="317"/>
      <c r="H15" s="317"/>
      <c r="I15" s="295"/>
      <c r="J15" s="295"/>
      <c r="K15" s="295"/>
      <c r="L15" s="295"/>
      <c r="M15" s="353"/>
      <c r="N15" s="353"/>
      <c r="O15" s="353"/>
      <c r="P15" s="353"/>
      <c r="Q15" s="353"/>
      <c r="R15" s="353"/>
      <c r="S15" s="353"/>
      <c r="T15" s="353"/>
      <c r="U15" s="353"/>
      <c r="V15" s="618"/>
      <c r="W15" s="617"/>
      <c r="X15" s="619"/>
      <c r="Y15" s="10"/>
      <c r="Z15" s="5"/>
    </row>
    <row r="16" spans="1:26" ht="12.75">
      <c r="A16" s="321" t="s">
        <v>59</v>
      </c>
      <c r="B16" s="378"/>
      <c r="C16" s="295"/>
      <c r="D16" s="295"/>
      <c r="E16" s="295"/>
      <c r="F16" s="295"/>
      <c r="G16" s="295"/>
      <c r="H16" s="295"/>
      <c r="I16" s="295"/>
      <c r="J16" s="295"/>
      <c r="K16" s="295"/>
      <c r="L16" s="295"/>
      <c r="M16" s="353"/>
      <c r="N16" s="353"/>
      <c r="O16" s="353"/>
      <c r="P16" s="353"/>
      <c r="Q16" s="353"/>
      <c r="R16" s="353"/>
      <c r="S16" s="353"/>
      <c r="T16" s="353"/>
      <c r="U16" s="353"/>
      <c r="V16" s="618"/>
      <c r="W16" s="617"/>
      <c r="X16" s="619"/>
      <c r="Y16" s="10"/>
      <c r="Z16" s="5"/>
    </row>
    <row r="17" spans="1:26" ht="12.75">
      <c r="A17" s="321" t="s">
        <v>23</v>
      </c>
      <c r="B17" s="378"/>
      <c r="C17" s="295"/>
      <c r="D17" s="295"/>
      <c r="E17" s="295"/>
      <c r="F17" s="295"/>
      <c r="G17" s="295"/>
      <c r="H17" s="295"/>
      <c r="I17" s="295"/>
      <c r="J17" s="295"/>
      <c r="K17" s="295"/>
      <c r="L17" s="295"/>
      <c r="M17" s="353"/>
      <c r="N17" s="353"/>
      <c r="O17" s="353"/>
      <c r="P17" s="353"/>
      <c r="Q17" s="353"/>
      <c r="R17" s="353"/>
      <c r="S17" s="353"/>
      <c r="T17" s="353"/>
      <c r="U17" s="353"/>
      <c r="V17" s="618"/>
      <c r="W17" s="617"/>
      <c r="X17" s="619"/>
      <c r="Y17" s="10"/>
      <c r="Z17" s="5"/>
    </row>
    <row r="18" spans="1:26" ht="12.75">
      <c r="A18" s="321" t="s">
        <v>87</v>
      </c>
      <c r="B18" s="378"/>
      <c r="C18" s="295"/>
      <c r="D18" s="295"/>
      <c r="E18" s="295"/>
      <c r="F18" s="295"/>
      <c r="G18" s="295"/>
      <c r="H18" s="295"/>
      <c r="I18" s="295"/>
      <c r="J18" s="295"/>
      <c r="K18" s="295"/>
      <c r="L18" s="295"/>
      <c r="M18" s="353"/>
      <c r="N18" s="353"/>
      <c r="O18" s="353"/>
      <c r="P18" s="353"/>
      <c r="Q18" s="353"/>
      <c r="R18" s="353"/>
      <c r="S18" s="353"/>
      <c r="T18" s="353"/>
      <c r="U18" s="353"/>
      <c r="V18" s="618"/>
      <c r="W18" s="617"/>
      <c r="X18" s="619"/>
      <c r="Y18" s="10"/>
      <c r="Z18" s="5"/>
    </row>
    <row r="19" spans="1:26" ht="12.75">
      <c r="A19" s="321" t="s">
        <v>167</v>
      </c>
      <c r="B19" s="378"/>
      <c r="C19" s="295"/>
      <c r="D19" s="295"/>
      <c r="E19" s="295"/>
      <c r="F19" s="295"/>
      <c r="G19" s="295"/>
      <c r="H19" s="295"/>
      <c r="I19" s="295"/>
      <c r="J19" s="295"/>
      <c r="K19" s="295"/>
      <c r="L19" s="295"/>
      <c r="M19" s="353"/>
      <c r="N19" s="353"/>
      <c r="O19" s="353"/>
      <c r="P19" s="353"/>
      <c r="Q19" s="353"/>
      <c r="R19" s="353"/>
      <c r="S19" s="353"/>
      <c r="T19" s="353"/>
      <c r="U19" s="353"/>
      <c r="V19" s="618"/>
      <c r="W19" s="617"/>
      <c r="X19" s="619"/>
      <c r="Y19" s="10"/>
      <c r="Z19" s="5"/>
    </row>
    <row r="20" spans="1:26" ht="12.75">
      <c r="A20" s="321" t="s">
        <v>0</v>
      </c>
      <c r="B20" s="378"/>
      <c r="C20" s="295"/>
      <c r="D20" s="295"/>
      <c r="E20" s="295"/>
      <c r="F20" s="295"/>
      <c r="G20" s="295"/>
      <c r="H20" s="295"/>
      <c r="I20" s="295"/>
      <c r="J20" s="295"/>
      <c r="K20" s="295"/>
      <c r="L20" s="295"/>
      <c r="M20" s="353"/>
      <c r="N20" s="353"/>
      <c r="O20" s="353"/>
      <c r="P20" s="353"/>
      <c r="Q20" s="353"/>
      <c r="R20" s="353"/>
      <c r="S20" s="353"/>
      <c r="T20" s="353"/>
      <c r="U20" s="353"/>
      <c r="V20" s="618"/>
      <c r="W20" s="617"/>
      <c r="X20" s="619"/>
      <c r="Y20" s="10"/>
      <c r="Z20" s="5"/>
    </row>
    <row r="21" spans="1:26" ht="12.75">
      <c r="A21" s="321" t="s">
        <v>133</v>
      </c>
      <c r="B21" s="378"/>
      <c r="C21" s="295"/>
      <c r="D21" s="295"/>
      <c r="E21" s="295"/>
      <c r="F21" s="295"/>
      <c r="G21" s="295"/>
      <c r="H21" s="295"/>
      <c r="I21" s="295"/>
      <c r="J21" s="295"/>
      <c r="K21" s="295"/>
      <c r="L21" s="295"/>
      <c r="M21" s="353"/>
      <c r="N21" s="353"/>
      <c r="O21" s="353"/>
      <c r="P21" s="353"/>
      <c r="Q21" s="353"/>
      <c r="R21" s="353"/>
      <c r="S21" s="353"/>
      <c r="T21" s="353"/>
      <c r="U21" s="353"/>
      <c r="V21" s="618"/>
      <c r="W21" s="617"/>
      <c r="X21" s="619"/>
      <c r="Y21" s="10"/>
      <c r="Z21" s="5"/>
    </row>
    <row r="22" spans="1:26" ht="12.75">
      <c r="A22" s="321" t="s">
        <v>170</v>
      </c>
      <c r="B22" s="378"/>
      <c r="C22" s="295"/>
      <c r="D22" s="295"/>
      <c r="E22" s="295"/>
      <c r="F22" s="295"/>
      <c r="G22" s="295"/>
      <c r="H22" s="295"/>
      <c r="I22" s="295"/>
      <c r="J22" s="295"/>
      <c r="K22" s="295"/>
      <c r="L22" s="295"/>
      <c r="M22" s="353"/>
      <c r="N22" s="353"/>
      <c r="O22" s="353"/>
      <c r="P22" s="353"/>
      <c r="Q22" s="353"/>
      <c r="R22" s="353"/>
      <c r="S22" s="353"/>
      <c r="T22" s="353"/>
      <c r="U22" s="353"/>
      <c r="V22" s="618"/>
      <c r="W22" s="617"/>
      <c r="X22" s="619"/>
      <c r="Y22" s="10"/>
      <c r="Z22" s="5"/>
    </row>
    <row r="23" spans="1:26" ht="12.75">
      <c r="A23" s="321" t="s">
        <v>61</v>
      </c>
      <c r="B23" s="378"/>
      <c r="C23" s="295"/>
      <c r="D23" s="295"/>
      <c r="E23" s="295"/>
      <c r="F23" s="295"/>
      <c r="G23" s="295"/>
      <c r="H23" s="295"/>
      <c r="I23" s="295"/>
      <c r="J23" s="295"/>
      <c r="K23" s="295"/>
      <c r="L23" s="295"/>
      <c r="M23" s="353"/>
      <c r="N23" s="353"/>
      <c r="O23" s="353"/>
      <c r="P23" s="353"/>
      <c r="Q23" s="353"/>
      <c r="R23" s="353"/>
      <c r="S23" s="353"/>
      <c r="T23" s="353"/>
      <c r="U23" s="353"/>
      <c r="V23" s="618"/>
      <c r="W23" s="617"/>
      <c r="X23" s="619"/>
      <c r="Y23" s="10"/>
      <c r="Z23" s="5"/>
    </row>
    <row r="24" spans="1:26" ht="12.75">
      <c r="A24" s="321" t="s">
        <v>89</v>
      </c>
      <c r="B24" s="295">
        <v>45.7</v>
      </c>
      <c r="C24" s="295">
        <v>44</v>
      </c>
      <c r="D24" s="295">
        <v>44.7</v>
      </c>
      <c r="E24" s="377">
        <v>44.7</v>
      </c>
      <c r="F24" s="377">
        <v>45.3</v>
      </c>
      <c r="G24" s="295">
        <v>45.3</v>
      </c>
      <c r="H24" s="295"/>
      <c r="I24" s="295"/>
      <c r="J24" s="295"/>
      <c r="K24" s="295"/>
      <c r="L24" s="295"/>
      <c r="M24" s="353"/>
      <c r="N24" s="353"/>
      <c r="O24" s="353"/>
      <c r="P24" s="353"/>
      <c r="Q24" s="353"/>
      <c r="R24" s="353"/>
      <c r="S24" s="353"/>
      <c r="T24" s="353"/>
      <c r="U24" s="353"/>
      <c r="V24" s="618">
        <f>SUM(B24:U24)/6</f>
        <v>44.95000000000001</v>
      </c>
      <c r="W24" s="617">
        <v>10392000</v>
      </c>
      <c r="X24" s="619">
        <f>V24/W24*2.5*100000</f>
        <v>1.0813606620477292</v>
      </c>
      <c r="Y24" s="10"/>
      <c r="Z24" s="5"/>
    </row>
    <row r="25" spans="1:26" ht="12.75">
      <c r="A25" s="321" t="s">
        <v>38</v>
      </c>
      <c r="B25" s="378"/>
      <c r="C25" s="295"/>
      <c r="D25" s="295"/>
      <c r="E25" s="295"/>
      <c r="F25" s="295"/>
      <c r="G25" s="295"/>
      <c r="H25" s="295"/>
      <c r="I25" s="295"/>
      <c r="J25" s="295"/>
      <c r="K25" s="295"/>
      <c r="L25" s="295"/>
      <c r="M25" s="353"/>
      <c r="N25" s="353"/>
      <c r="O25" s="353"/>
      <c r="P25" s="353"/>
      <c r="Q25" s="353"/>
      <c r="R25" s="353"/>
      <c r="S25" s="353"/>
      <c r="T25" s="353"/>
      <c r="U25" s="353"/>
      <c r="V25" s="618"/>
      <c r="W25" s="617"/>
      <c r="X25" s="619"/>
      <c r="Y25" s="10"/>
      <c r="Z25" s="5"/>
    </row>
    <row r="26" spans="1:26" ht="12.75">
      <c r="A26" s="321" t="s">
        <v>147</v>
      </c>
      <c r="B26" s="378"/>
      <c r="C26" s="295"/>
      <c r="D26" s="295"/>
      <c r="E26" s="295"/>
      <c r="F26" s="295"/>
      <c r="G26" s="295"/>
      <c r="H26" s="295"/>
      <c r="I26" s="295"/>
      <c r="J26" s="295"/>
      <c r="K26" s="295"/>
      <c r="L26" s="295"/>
      <c r="M26" s="353"/>
      <c r="N26" s="353"/>
      <c r="O26" s="353"/>
      <c r="P26" s="353"/>
      <c r="Q26" s="353"/>
      <c r="R26" s="353"/>
      <c r="S26" s="353"/>
      <c r="T26" s="353"/>
      <c r="U26" s="353"/>
      <c r="V26" s="618"/>
      <c r="W26" s="617"/>
      <c r="X26" s="619"/>
      <c r="Y26" s="10"/>
      <c r="Z26" s="5"/>
    </row>
    <row r="27" spans="1:26" ht="12.75">
      <c r="A27" s="321" t="s">
        <v>165</v>
      </c>
      <c r="B27" s="378"/>
      <c r="C27" s="295"/>
      <c r="D27" s="295"/>
      <c r="E27" s="295"/>
      <c r="F27" s="295"/>
      <c r="G27" s="295"/>
      <c r="H27" s="295"/>
      <c r="I27" s="295"/>
      <c r="J27" s="295"/>
      <c r="K27" s="295"/>
      <c r="L27" s="295"/>
      <c r="M27" s="353"/>
      <c r="N27" s="353"/>
      <c r="O27" s="353"/>
      <c r="P27" s="353"/>
      <c r="Q27" s="353"/>
      <c r="R27" s="353"/>
      <c r="S27" s="353"/>
      <c r="T27" s="353"/>
      <c r="U27" s="353"/>
      <c r="V27" s="618"/>
      <c r="W27" s="617"/>
      <c r="X27" s="619"/>
      <c r="Y27" s="10"/>
      <c r="Z27" s="5"/>
    </row>
    <row r="28" spans="1:26" ht="12.75">
      <c r="A28" s="321" t="s">
        <v>50</v>
      </c>
      <c r="B28" s="378"/>
      <c r="C28" s="295"/>
      <c r="D28" s="295"/>
      <c r="E28" s="295"/>
      <c r="F28" s="295"/>
      <c r="G28" s="295"/>
      <c r="H28" s="295"/>
      <c r="I28" s="295"/>
      <c r="J28" s="295"/>
      <c r="K28" s="295"/>
      <c r="L28" s="295"/>
      <c r="M28" s="353"/>
      <c r="N28" s="353"/>
      <c r="O28" s="353"/>
      <c r="P28" s="353"/>
      <c r="Q28" s="353"/>
      <c r="R28" s="353"/>
      <c r="S28" s="353"/>
      <c r="T28" s="353"/>
      <c r="U28" s="353"/>
      <c r="V28" s="618"/>
      <c r="W28" s="617"/>
      <c r="X28" s="619"/>
      <c r="Y28" s="10"/>
      <c r="Z28" s="5"/>
    </row>
    <row r="29" spans="1:26" ht="12.75">
      <c r="A29" s="321" t="s">
        <v>131</v>
      </c>
      <c r="B29" s="378"/>
      <c r="C29" s="295"/>
      <c r="D29" s="295"/>
      <c r="E29" s="295"/>
      <c r="F29" s="295"/>
      <c r="G29" s="295"/>
      <c r="H29" s="295"/>
      <c r="I29" s="295"/>
      <c r="J29" s="295"/>
      <c r="K29" s="295"/>
      <c r="L29" s="295"/>
      <c r="M29" s="353"/>
      <c r="N29" s="353"/>
      <c r="O29" s="353"/>
      <c r="P29" s="353"/>
      <c r="Q29" s="353"/>
      <c r="R29" s="353"/>
      <c r="S29" s="353"/>
      <c r="T29" s="353"/>
      <c r="U29" s="353"/>
      <c r="V29" s="618"/>
      <c r="W29" s="617"/>
      <c r="X29" s="619"/>
      <c r="Y29" s="10"/>
      <c r="Z29" s="5"/>
    </row>
    <row r="30" spans="1:26" ht="12.75">
      <c r="A30" s="321" t="s">
        <v>1</v>
      </c>
      <c r="B30" s="378"/>
      <c r="C30" s="295"/>
      <c r="D30" s="295"/>
      <c r="E30" s="295"/>
      <c r="F30" s="295"/>
      <c r="G30" s="295"/>
      <c r="H30" s="295"/>
      <c r="I30" s="295"/>
      <c r="J30" s="295"/>
      <c r="K30" s="295"/>
      <c r="L30" s="295"/>
      <c r="M30" s="353"/>
      <c r="N30" s="353"/>
      <c r="O30" s="353"/>
      <c r="P30" s="353"/>
      <c r="Q30" s="353"/>
      <c r="R30" s="353"/>
      <c r="S30" s="353"/>
      <c r="T30" s="353"/>
      <c r="U30" s="353"/>
      <c r="V30" s="618"/>
      <c r="W30" s="617"/>
      <c r="X30" s="619"/>
      <c r="Y30" s="10"/>
      <c r="Z30" s="5"/>
    </row>
    <row r="31" spans="1:26" ht="12.75">
      <c r="A31" s="321" t="s">
        <v>142</v>
      </c>
      <c r="B31" s="378"/>
      <c r="C31" s="295"/>
      <c r="D31" s="295"/>
      <c r="E31" s="295"/>
      <c r="F31" s="295"/>
      <c r="G31" s="295"/>
      <c r="H31" s="295"/>
      <c r="I31" s="295"/>
      <c r="J31" s="295"/>
      <c r="K31" s="295"/>
      <c r="L31" s="295"/>
      <c r="M31" s="353"/>
      <c r="N31" s="353"/>
      <c r="O31" s="353"/>
      <c r="P31" s="353"/>
      <c r="Q31" s="353"/>
      <c r="R31" s="353"/>
      <c r="S31" s="353"/>
      <c r="T31" s="353"/>
      <c r="U31" s="353"/>
      <c r="V31" s="618"/>
      <c r="W31" s="617"/>
      <c r="X31" s="619"/>
      <c r="Y31" s="10"/>
      <c r="Z31" s="5"/>
    </row>
    <row r="32" spans="1:26" ht="12.75">
      <c r="A32" s="321" t="s">
        <v>68</v>
      </c>
      <c r="B32" s="295">
        <v>4.9</v>
      </c>
      <c r="C32" s="295">
        <v>14.3</v>
      </c>
      <c r="D32" s="295">
        <v>13.8</v>
      </c>
      <c r="E32" s="377">
        <v>13.8</v>
      </c>
      <c r="F32" s="377">
        <v>9.9</v>
      </c>
      <c r="G32" s="295">
        <v>9.9</v>
      </c>
      <c r="H32" s="295"/>
      <c r="I32" s="295"/>
      <c r="J32" s="295"/>
      <c r="K32" s="295"/>
      <c r="L32" s="295"/>
      <c r="M32" s="353"/>
      <c r="N32" s="353"/>
      <c r="O32" s="353"/>
      <c r="P32" s="353"/>
      <c r="Q32" s="353"/>
      <c r="R32" s="353"/>
      <c r="S32" s="353"/>
      <c r="T32" s="353"/>
      <c r="U32" s="353"/>
      <c r="V32" s="618">
        <f>SUM(B32:U32)/6</f>
        <v>11.1</v>
      </c>
      <c r="W32" s="617">
        <v>193919000</v>
      </c>
      <c r="X32" s="619">
        <f>V32/W32*2.5*100000</f>
        <v>0.014310098546300259</v>
      </c>
      <c r="Y32" s="10"/>
      <c r="Z32" s="5"/>
    </row>
    <row r="33" spans="1:26" ht="12.75">
      <c r="A33" s="321" t="s">
        <v>269</v>
      </c>
      <c r="B33" s="378"/>
      <c r="C33" s="295"/>
      <c r="D33" s="295"/>
      <c r="E33" s="295"/>
      <c r="F33" s="295"/>
      <c r="G33" s="295"/>
      <c r="H33" s="295"/>
      <c r="I33" s="295"/>
      <c r="J33" s="295"/>
      <c r="K33" s="295"/>
      <c r="L33" s="295"/>
      <c r="M33" s="353"/>
      <c r="N33" s="353"/>
      <c r="O33" s="353"/>
      <c r="P33" s="353"/>
      <c r="Q33" s="353"/>
      <c r="R33" s="353"/>
      <c r="S33" s="353"/>
      <c r="T33" s="353"/>
      <c r="U33" s="353"/>
      <c r="V33" s="618"/>
      <c r="W33" s="617"/>
      <c r="X33" s="619"/>
      <c r="Y33" s="10"/>
      <c r="Z33" s="5"/>
    </row>
    <row r="34" spans="1:26" ht="12.75">
      <c r="A34" s="321" t="s">
        <v>71</v>
      </c>
      <c r="B34" s="295">
        <v>17.3</v>
      </c>
      <c r="C34" s="295">
        <v>18.2</v>
      </c>
      <c r="D34" s="295">
        <v>20.2</v>
      </c>
      <c r="E34" s="377">
        <v>20.2</v>
      </c>
      <c r="F34" s="377">
        <v>17.3</v>
      </c>
      <c r="G34" s="295">
        <v>17.3</v>
      </c>
      <c r="H34" s="295"/>
      <c r="I34" s="295"/>
      <c r="J34" s="295"/>
      <c r="K34" s="295"/>
      <c r="L34" s="295"/>
      <c r="M34" s="353"/>
      <c r="N34" s="353"/>
      <c r="O34" s="353"/>
      <c r="P34" s="353"/>
      <c r="Q34" s="353"/>
      <c r="R34" s="353"/>
      <c r="S34" s="353"/>
      <c r="T34" s="353"/>
      <c r="U34" s="353"/>
      <c r="V34" s="618">
        <f>SUM(B34:U34)/6</f>
        <v>18.416666666666668</v>
      </c>
      <c r="W34" s="617">
        <v>7323000</v>
      </c>
      <c r="X34" s="619">
        <f>V34/W34*2.5*100000</f>
        <v>0.6287268423687924</v>
      </c>
      <c r="Y34" s="10"/>
      <c r="Z34" s="5"/>
    </row>
    <row r="35" spans="1:26" ht="12.75">
      <c r="A35" s="321" t="s">
        <v>123</v>
      </c>
      <c r="B35" s="378"/>
      <c r="C35" s="295"/>
      <c r="D35" s="295"/>
      <c r="E35" s="295"/>
      <c r="F35" s="295"/>
      <c r="G35" s="317"/>
      <c r="H35" s="317"/>
      <c r="I35" s="295"/>
      <c r="J35" s="295"/>
      <c r="K35" s="295"/>
      <c r="L35" s="295"/>
      <c r="M35" s="353"/>
      <c r="N35" s="353"/>
      <c r="O35" s="353"/>
      <c r="P35" s="353"/>
      <c r="Q35" s="375"/>
      <c r="R35" s="376"/>
      <c r="S35" s="353"/>
      <c r="T35" s="353"/>
      <c r="U35" s="353"/>
      <c r="V35" s="618"/>
      <c r="W35" s="617"/>
      <c r="X35" s="619"/>
      <c r="Y35" s="10"/>
      <c r="Z35" s="5"/>
    </row>
    <row r="36" spans="1:26" ht="12.75">
      <c r="A36" s="321" t="s">
        <v>134</v>
      </c>
      <c r="B36" s="378"/>
      <c r="C36" s="295"/>
      <c r="D36" s="295"/>
      <c r="E36" s="295"/>
      <c r="F36" s="295"/>
      <c r="G36" s="317"/>
      <c r="H36" s="317"/>
      <c r="I36" s="295"/>
      <c r="J36" s="295"/>
      <c r="K36" s="295"/>
      <c r="L36" s="295"/>
      <c r="M36" s="353"/>
      <c r="N36" s="353"/>
      <c r="O36" s="353"/>
      <c r="P36" s="353"/>
      <c r="Q36" s="375"/>
      <c r="R36" s="376"/>
      <c r="S36" s="353"/>
      <c r="T36" s="353"/>
      <c r="U36" s="353"/>
      <c r="V36" s="618"/>
      <c r="W36" s="617"/>
      <c r="X36" s="619"/>
      <c r="Y36" s="10"/>
      <c r="Z36" s="5"/>
    </row>
    <row r="37" spans="1:26" ht="12.75">
      <c r="A37" s="321" t="s">
        <v>141</v>
      </c>
      <c r="B37" s="378"/>
      <c r="C37" s="295"/>
      <c r="D37" s="295"/>
      <c r="E37" s="295"/>
      <c r="F37" s="295"/>
      <c r="G37" s="317"/>
      <c r="H37" s="317"/>
      <c r="I37" s="295"/>
      <c r="J37" s="295"/>
      <c r="K37" s="295"/>
      <c r="L37" s="295"/>
      <c r="M37" s="353"/>
      <c r="N37" s="353"/>
      <c r="O37" s="353"/>
      <c r="P37" s="353"/>
      <c r="Q37" s="375"/>
      <c r="R37" s="376"/>
      <c r="S37" s="353"/>
      <c r="T37" s="353"/>
      <c r="U37" s="353"/>
      <c r="V37" s="618"/>
      <c r="W37" s="617"/>
      <c r="X37" s="619"/>
      <c r="Y37" s="10"/>
      <c r="Z37" s="5"/>
    </row>
    <row r="38" spans="1:26" ht="12.75">
      <c r="A38" s="321" t="s">
        <v>127</v>
      </c>
      <c r="B38" s="378"/>
      <c r="C38" s="295"/>
      <c r="D38" s="295"/>
      <c r="E38" s="295"/>
      <c r="F38" s="295"/>
      <c r="G38" s="317"/>
      <c r="H38" s="317"/>
      <c r="I38" s="295"/>
      <c r="J38" s="295"/>
      <c r="K38" s="295"/>
      <c r="L38" s="295"/>
      <c r="M38" s="353"/>
      <c r="N38" s="353"/>
      <c r="O38" s="353"/>
      <c r="P38" s="353"/>
      <c r="Q38" s="375"/>
      <c r="R38" s="376"/>
      <c r="S38" s="353"/>
      <c r="T38" s="353"/>
      <c r="U38" s="353"/>
      <c r="V38" s="618"/>
      <c r="W38" s="617"/>
      <c r="X38" s="619"/>
      <c r="Y38" s="10"/>
      <c r="Z38" s="10"/>
    </row>
    <row r="39" spans="1:26" ht="12.75">
      <c r="A39" s="321" t="s">
        <v>2</v>
      </c>
      <c r="B39" s="295">
        <v>68.7</v>
      </c>
      <c r="C39" s="295">
        <v>72.9</v>
      </c>
      <c r="D39" s="295">
        <v>71.2</v>
      </c>
      <c r="E39" s="377">
        <v>71.2</v>
      </c>
      <c r="F39" s="377">
        <v>86.8</v>
      </c>
      <c r="G39" s="295">
        <v>86.8</v>
      </c>
      <c r="H39" s="295"/>
      <c r="I39" s="295"/>
      <c r="J39" s="295"/>
      <c r="K39" s="295"/>
      <c r="L39" s="295"/>
      <c r="M39" s="353"/>
      <c r="N39" s="353"/>
      <c r="O39" s="353"/>
      <c r="P39" s="353"/>
      <c r="Q39" s="353"/>
      <c r="R39" s="353"/>
      <c r="S39" s="353"/>
      <c r="T39" s="353"/>
      <c r="U39" s="353"/>
      <c r="V39" s="618">
        <f>SUM(B39:U39)/6</f>
        <v>76.26666666666667</v>
      </c>
      <c r="W39" s="617">
        <v>32936000</v>
      </c>
      <c r="X39" s="619">
        <f>V39/W39*2.5*100000</f>
        <v>0.5789004938871346</v>
      </c>
      <c r="Z39" s="5"/>
    </row>
    <row r="40" spans="1:26" ht="12.75">
      <c r="A40" s="321" t="s">
        <v>180</v>
      </c>
      <c r="B40" s="378"/>
      <c r="C40" s="295"/>
      <c r="D40" s="295"/>
      <c r="E40" s="295"/>
      <c r="F40" s="295"/>
      <c r="G40" s="317"/>
      <c r="H40" s="317"/>
      <c r="I40" s="295"/>
      <c r="J40" s="295"/>
      <c r="K40" s="295"/>
      <c r="L40" s="295"/>
      <c r="M40" s="353"/>
      <c r="N40" s="353"/>
      <c r="O40" s="353"/>
      <c r="P40" s="353"/>
      <c r="Q40" s="375"/>
      <c r="R40" s="376"/>
      <c r="S40" s="353"/>
      <c r="T40" s="353"/>
      <c r="U40" s="353"/>
      <c r="V40" s="618"/>
      <c r="W40" s="617"/>
      <c r="X40" s="619"/>
      <c r="Z40" s="5"/>
    </row>
    <row r="41" spans="1:26" ht="12.75">
      <c r="A41" s="321" t="s">
        <v>163</v>
      </c>
      <c r="B41" s="378"/>
      <c r="C41" s="295"/>
      <c r="D41" s="295"/>
      <c r="E41" s="295"/>
      <c r="F41" s="295"/>
      <c r="G41" s="317"/>
      <c r="H41" s="317"/>
      <c r="I41" s="295"/>
      <c r="J41" s="295"/>
      <c r="K41" s="295"/>
      <c r="L41" s="295"/>
      <c r="M41" s="353"/>
      <c r="N41" s="353"/>
      <c r="O41" s="353"/>
      <c r="P41" s="353"/>
      <c r="Q41" s="375"/>
      <c r="R41" s="376"/>
      <c r="S41" s="353"/>
      <c r="T41" s="353"/>
      <c r="U41" s="353"/>
      <c r="V41" s="618"/>
      <c r="W41" s="617"/>
      <c r="X41" s="619"/>
      <c r="Z41" s="5"/>
    </row>
    <row r="42" spans="1:26" ht="12.75">
      <c r="A42" s="321" t="s">
        <v>154</v>
      </c>
      <c r="B42" s="378"/>
      <c r="C42" s="295"/>
      <c r="D42" s="295"/>
      <c r="E42" s="295"/>
      <c r="F42" s="295"/>
      <c r="G42" s="317"/>
      <c r="H42" s="317"/>
      <c r="I42" s="295"/>
      <c r="J42" s="295"/>
      <c r="K42" s="295"/>
      <c r="L42" s="295"/>
      <c r="M42" s="353"/>
      <c r="N42" s="353"/>
      <c r="O42" s="353"/>
      <c r="P42" s="353"/>
      <c r="Q42" s="375"/>
      <c r="R42" s="376"/>
      <c r="S42" s="353"/>
      <c r="T42" s="353"/>
      <c r="U42" s="353"/>
      <c r="V42" s="618"/>
      <c r="W42" s="617"/>
      <c r="X42" s="619"/>
      <c r="Z42" s="5"/>
    </row>
    <row r="43" spans="1:26" ht="12.75">
      <c r="A43" s="321" t="s">
        <v>144</v>
      </c>
      <c r="B43" s="378"/>
      <c r="C43" s="295"/>
      <c r="D43" s="295"/>
      <c r="E43" s="295"/>
      <c r="F43" s="295"/>
      <c r="G43" s="295"/>
      <c r="H43" s="295"/>
      <c r="I43" s="295"/>
      <c r="J43" s="295"/>
      <c r="K43" s="295"/>
      <c r="L43" s="295"/>
      <c r="M43" s="353"/>
      <c r="N43" s="353"/>
      <c r="O43" s="353"/>
      <c r="P43" s="353"/>
      <c r="Q43" s="353"/>
      <c r="R43" s="353"/>
      <c r="S43" s="353"/>
      <c r="T43" s="353"/>
      <c r="U43" s="353"/>
      <c r="V43" s="618"/>
      <c r="W43" s="617"/>
      <c r="X43" s="619"/>
      <c r="Z43" s="5"/>
    </row>
    <row r="44" spans="1:26" ht="12.75">
      <c r="A44" s="321" t="s">
        <v>29</v>
      </c>
      <c r="B44" s="378"/>
      <c r="C44" s="295"/>
      <c r="D44" s="295"/>
      <c r="E44" s="295"/>
      <c r="F44" s="295"/>
      <c r="G44" s="317"/>
      <c r="H44" s="317"/>
      <c r="I44" s="295"/>
      <c r="J44" s="295"/>
      <c r="K44" s="295"/>
      <c r="L44" s="295"/>
      <c r="M44" s="353"/>
      <c r="N44" s="353"/>
      <c r="O44" s="353"/>
      <c r="P44" s="353"/>
      <c r="Q44" s="375"/>
      <c r="R44" s="376"/>
      <c r="S44" s="353"/>
      <c r="T44" s="353"/>
      <c r="U44" s="353"/>
      <c r="V44" s="618"/>
      <c r="W44" s="617"/>
      <c r="X44" s="619"/>
      <c r="Z44" s="5"/>
    </row>
    <row r="45" spans="1:26" ht="12.75">
      <c r="A45" s="321" t="s">
        <v>117</v>
      </c>
      <c r="B45" s="295">
        <v>16</v>
      </c>
      <c r="C45" s="295">
        <v>16.7</v>
      </c>
      <c r="D45" s="295">
        <v>23.5</v>
      </c>
      <c r="E45" s="377">
        <v>23.5</v>
      </c>
      <c r="F45" s="377">
        <v>50.3</v>
      </c>
      <c r="G45" s="295">
        <v>50.3</v>
      </c>
      <c r="H45" s="295"/>
      <c r="I45" s="295"/>
      <c r="J45" s="295"/>
      <c r="K45" s="295"/>
      <c r="L45" s="295"/>
      <c r="M45" s="353"/>
      <c r="N45" s="353"/>
      <c r="O45" s="353"/>
      <c r="P45" s="353"/>
      <c r="Q45" s="353"/>
      <c r="R45" s="353"/>
      <c r="S45" s="353"/>
      <c r="T45" s="353"/>
      <c r="U45" s="353"/>
      <c r="V45" s="618">
        <f>SUM(B45:U45)/6</f>
        <v>30.05</v>
      </c>
      <c r="W45" s="617">
        <v>1310584000</v>
      </c>
      <c r="X45" s="619">
        <f>V45/W45*2.5*100000</f>
        <v>0.005732177410986247</v>
      </c>
      <c r="Z45" s="5"/>
    </row>
    <row r="46" spans="1:26" ht="12.75">
      <c r="A46" s="321" t="s">
        <v>189</v>
      </c>
      <c r="B46" s="378"/>
      <c r="C46" s="295"/>
      <c r="D46" s="295"/>
      <c r="E46" s="295"/>
      <c r="F46" s="295"/>
      <c r="G46" s="317"/>
      <c r="H46" s="317"/>
      <c r="I46" s="295"/>
      <c r="J46" s="295"/>
      <c r="K46" s="295"/>
      <c r="L46" s="295"/>
      <c r="M46" s="353"/>
      <c r="N46" s="353"/>
      <c r="O46" s="353"/>
      <c r="P46" s="353"/>
      <c r="Q46" s="375"/>
      <c r="R46" s="376"/>
      <c r="S46" s="353"/>
      <c r="T46" s="353"/>
      <c r="U46" s="353"/>
      <c r="V46" s="618"/>
      <c r="W46" s="617"/>
      <c r="X46" s="619"/>
      <c r="Z46" s="5"/>
    </row>
    <row r="47" spans="1:26" ht="12.75">
      <c r="A47" s="321" t="s">
        <v>190</v>
      </c>
      <c r="B47" s="378"/>
      <c r="C47" s="295"/>
      <c r="D47" s="295"/>
      <c r="E47" s="295"/>
      <c r="F47" s="295"/>
      <c r="G47" s="317"/>
      <c r="H47" s="317"/>
      <c r="I47" s="295"/>
      <c r="J47" s="295"/>
      <c r="K47" s="295"/>
      <c r="L47" s="295"/>
      <c r="M47" s="353"/>
      <c r="N47" s="353"/>
      <c r="O47" s="353"/>
      <c r="P47" s="353"/>
      <c r="Q47" s="375"/>
      <c r="R47" s="376"/>
      <c r="S47" s="353"/>
      <c r="T47" s="353"/>
      <c r="U47" s="353"/>
      <c r="V47" s="618"/>
      <c r="W47" s="617"/>
      <c r="X47" s="619"/>
      <c r="Z47" s="5"/>
    </row>
    <row r="48" spans="1:26" ht="12.75">
      <c r="A48" s="321" t="s">
        <v>25</v>
      </c>
      <c r="B48" s="378"/>
      <c r="C48" s="295"/>
      <c r="D48" s="295"/>
      <c r="E48" s="295"/>
      <c r="F48" s="295"/>
      <c r="G48" s="317"/>
      <c r="H48" s="317"/>
      <c r="I48" s="295"/>
      <c r="J48" s="295"/>
      <c r="K48" s="295"/>
      <c r="L48" s="295"/>
      <c r="M48" s="353"/>
      <c r="N48" s="353"/>
      <c r="O48" s="353"/>
      <c r="P48" s="353"/>
      <c r="Q48" s="375"/>
      <c r="R48" s="376"/>
      <c r="S48" s="353"/>
      <c r="T48" s="353"/>
      <c r="U48" s="353"/>
      <c r="V48" s="618"/>
      <c r="W48" s="617"/>
      <c r="X48" s="619"/>
      <c r="Z48" s="5"/>
    </row>
    <row r="49" spans="1:26" ht="12.75">
      <c r="A49" s="321" t="s">
        <v>186</v>
      </c>
      <c r="B49" s="378"/>
      <c r="C49" s="295"/>
      <c r="D49" s="295"/>
      <c r="E49" s="295"/>
      <c r="F49" s="295"/>
      <c r="G49" s="317"/>
      <c r="H49" s="317"/>
      <c r="I49" s="295"/>
      <c r="J49" s="295"/>
      <c r="K49" s="295"/>
      <c r="L49" s="295"/>
      <c r="M49" s="353"/>
      <c r="N49" s="353"/>
      <c r="O49" s="353"/>
      <c r="P49" s="353"/>
      <c r="Q49" s="375"/>
      <c r="R49" s="376"/>
      <c r="S49" s="353"/>
      <c r="T49" s="353"/>
      <c r="U49" s="353"/>
      <c r="V49" s="618"/>
      <c r="W49" s="617"/>
      <c r="X49" s="619"/>
      <c r="Z49" s="5"/>
    </row>
    <row r="50" spans="1:26" ht="12.75">
      <c r="A50" s="321" t="s">
        <v>267</v>
      </c>
      <c r="B50" s="378"/>
      <c r="C50" s="295"/>
      <c r="D50" s="295"/>
      <c r="E50" s="295"/>
      <c r="F50" s="295"/>
      <c r="G50" s="317"/>
      <c r="H50" s="317"/>
      <c r="I50" s="295"/>
      <c r="J50" s="295"/>
      <c r="K50" s="295"/>
      <c r="L50" s="295"/>
      <c r="M50" s="353"/>
      <c r="N50" s="353"/>
      <c r="O50" s="353"/>
      <c r="P50" s="353"/>
      <c r="Q50" s="375"/>
      <c r="R50" s="376"/>
      <c r="S50" s="353"/>
      <c r="T50" s="353"/>
      <c r="U50" s="353"/>
      <c r="V50" s="618"/>
      <c r="W50" s="617"/>
      <c r="X50" s="619"/>
      <c r="Z50" s="5"/>
    </row>
    <row r="51" spans="1:26" ht="12.75">
      <c r="A51" s="321" t="s">
        <v>18</v>
      </c>
      <c r="B51" s="378"/>
      <c r="C51" s="295"/>
      <c r="D51" s="295"/>
      <c r="E51" s="295"/>
      <c r="F51" s="295"/>
      <c r="G51" s="317"/>
      <c r="H51" s="317"/>
      <c r="I51" s="295"/>
      <c r="J51" s="295"/>
      <c r="K51" s="295"/>
      <c r="L51" s="295"/>
      <c r="M51" s="353"/>
      <c r="N51" s="353"/>
      <c r="O51" s="353"/>
      <c r="P51" s="353"/>
      <c r="Q51" s="375"/>
      <c r="R51" s="376"/>
      <c r="S51" s="353"/>
      <c r="T51" s="353"/>
      <c r="U51" s="353"/>
      <c r="V51" s="618"/>
      <c r="W51" s="617"/>
      <c r="X51" s="619"/>
      <c r="Z51" s="5"/>
    </row>
    <row r="52" spans="1:26" ht="12.75">
      <c r="A52" s="321" t="s">
        <v>102</v>
      </c>
      <c r="B52" s="378"/>
      <c r="C52" s="295"/>
      <c r="D52" s="295"/>
      <c r="E52" s="295"/>
      <c r="F52" s="295"/>
      <c r="G52" s="317"/>
      <c r="H52" s="317"/>
      <c r="I52" s="295"/>
      <c r="J52" s="295"/>
      <c r="K52" s="295"/>
      <c r="L52" s="295"/>
      <c r="M52" s="353"/>
      <c r="N52" s="353"/>
      <c r="O52" s="353"/>
      <c r="P52" s="353"/>
      <c r="Q52" s="375"/>
      <c r="R52" s="376"/>
      <c r="S52" s="353"/>
      <c r="T52" s="353"/>
      <c r="U52" s="353"/>
      <c r="V52" s="618"/>
      <c r="W52" s="617"/>
      <c r="X52" s="619"/>
      <c r="Z52" s="5"/>
    </row>
    <row r="53" spans="1:26" ht="12.75">
      <c r="A53" s="321" t="s">
        <v>45</v>
      </c>
      <c r="B53" s="378"/>
      <c r="C53" s="295"/>
      <c r="D53" s="295"/>
      <c r="E53" s="295"/>
      <c r="F53" s="295"/>
      <c r="G53" s="295"/>
      <c r="H53" s="295"/>
      <c r="I53" s="295"/>
      <c r="J53" s="295"/>
      <c r="K53" s="295"/>
      <c r="L53" s="295"/>
      <c r="M53" s="353"/>
      <c r="N53" s="353"/>
      <c r="O53" s="353"/>
      <c r="P53" s="353"/>
      <c r="Q53" s="353"/>
      <c r="R53" s="353"/>
      <c r="S53" s="353"/>
      <c r="T53" s="353"/>
      <c r="U53" s="353"/>
      <c r="V53" s="618"/>
      <c r="W53" s="617"/>
      <c r="X53" s="619"/>
      <c r="Z53" s="5"/>
    </row>
    <row r="54" spans="1:26" ht="12.75">
      <c r="A54" s="321" t="s">
        <v>24</v>
      </c>
      <c r="B54" s="378"/>
      <c r="C54" s="295"/>
      <c r="D54" s="295"/>
      <c r="E54" s="295"/>
      <c r="F54" s="295"/>
      <c r="G54" s="317"/>
      <c r="H54" s="317"/>
      <c r="I54" s="295"/>
      <c r="J54" s="295"/>
      <c r="K54" s="295"/>
      <c r="L54" s="295"/>
      <c r="M54" s="353"/>
      <c r="N54" s="353"/>
      <c r="O54" s="353"/>
      <c r="P54" s="353"/>
      <c r="Q54" s="375"/>
      <c r="R54" s="376"/>
      <c r="S54" s="353"/>
      <c r="T54" s="353"/>
      <c r="U54" s="353"/>
      <c r="V54" s="618"/>
      <c r="W54" s="617"/>
      <c r="X54" s="619"/>
      <c r="Z54" s="5"/>
    </row>
    <row r="55" spans="1:26" ht="12.75">
      <c r="A55" s="321" t="s">
        <v>97</v>
      </c>
      <c r="B55" s="378"/>
      <c r="C55" s="295"/>
      <c r="D55" s="295"/>
      <c r="E55" s="295"/>
      <c r="F55" s="295"/>
      <c r="G55" s="317"/>
      <c r="H55" s="317"/>
      <c r="I55" s="295"/>
      <c r="J55" s="295"/>
      <c r="K55" s="295"/>
      <c r="L55" s="295"/>
      <c r="M55" s="353"/>
      <c r="N55" s="353"/>
      <c r="O55" s="353"/>
      <c r="P55" s="353"/>
      <c r="Q55" s="375"/>
      <c r="R55" s="376"/>
      <c r="S55" s="353"/>
      <c r="T55" s="353"/>
      <c r="U55" s="353"/>
      <c r="V55" s="618"/>
      <c r="W55" s="617"/>
      <c r="X55" s="619"/>
      <c r="Z55" s="5"/>
    </row>
    <row r="56" spans="1:26" ht="12.75">
      <c r="A56" s="321" t="s">
        <v>34</v>
      </c>
      <c r="B56" s="295">
        <v>12.9</v>
      </c>
      <c r="C56" s="295">
        <v>16.2</v>
      </c>
      <c r="D56" s="295">
        <v>18.7</v>
      </c>
      <c r="E56" s="377">
        <v>18.7</v>
      </c>
      <c r="F56" s="377">
        <v>23.3</v>
      </c>
      <c r="G56" s="295">
        <v>23.3</v>
      </c>
      <c r="H56" s="295"/>
      <c r="I56" s="295"/>
      <c r="J56" s="295"/>
      <c r="K56" s="295"/>
      <c r="L56" s="295"/>
      <c r="M56" s="353"/>
      <c r="N56" s="353"/>
      <c r="O56" s="353"/>
      <c r="P56" s="353"/>
      <c r="Q56" s="353"/>
      <c r="R56" s="353"/>
      <c r="S56" s="353"/>
      <c r="T56" s="353"/>
      <c r="U56" s="353"/>
      <c r="V56" s="618">
        <f>SUM(B56:U56)/6</f>
        <v>18.849999999999998</v>
      </c>
      <c r="W56" s="617">
        <v>10229000</v>
      </c>
      <c r="X56" s="619">
        <f>V56/W56*2.5*100000</f>
        <v>0.4606999706716199</v>
      </c>
      <c r="Z56" s="5"/>
    </row>
    <row r="57" spans="1:26" ht="12.75">
      <c r="A57" s="321" t="s">
        <v>105</v>
      </c>
      <c r="B57" s="378"/>
      <c r="C57" s="295"/>
      <c r="D57" s="295"/>
      <c r="E57" s="295"/>
      <c r="F57" s="295"/>
      <c r="G57" s="317"/>
      <c r="H57" s="317"/>
      <c r="I57" s="295"/>
      <c r="J57" s="295"/>
      <c r="K57" s="295"/>
      <c r="L57" s="295"/>
      <c r="M57" s="353"/>
      <c r="N57" s="353"/>
      <c r="O57" s="353"/>
      <c r="P57" s="353"/>
      <c r="Q57" s="375"/>
      <c r="R57" s="376"/>
      <c r="S57" s="353"/>
      <c r="T57" s="353"/>
      <c r="U57" s="353"/>
      <c r="V57" s="618"/>
      <c r="W57" s="617"/>
      <c r="X57" s="619"/>
      <c r="Z57" s="5"/>
    </row>
    <row r="58" spans="1:26" ht="12.75">
      <c r="A58" s="321" t="s">
        <v>42</v>
      </c>
      <c r="B58" s="378"/>
      <c r="C58" s="295"/>
      <c r="D58" s="295"/>
      <c r="E58" s="295"/>
      <c r="F58" s="295"/>
      <c r="G58" s="317"/>
      <c r="H58" s="317"/>
      <c r="I58" s="295"/>
      <c r="J58" s="295"/>
      <c r="K58" s="295"/>
      <c r="L58" s="295"/>
      <c r="M58" s="353"/>
      <c r="N58" s="353"/>
      <c r="O58" s="353"/>
      <c r="P58" s="353"/>
      <c r="Q58" s="375"/>
      <c r="R58" s="376"/>
      <c r="S58" s="353"/>
      <c r="T58" s="353"/>
      <c r="U58" s="353"/>
      <c r="V58" s="618"/>
      <c r="W58" s="617"/>
      <c r="X58" s="619"/>
      <c r="Z58" s="5"/>
    </row>
    <row r="59" spans="1:26" ht="12.75">
      <c r="A59" s="321" t="s">
        <v>79</v>
      </c>
      <c r="B59" s="378"/>
      <c r="C59" s="295"/>
      <c r="D59" s="295"/>
      <c r="E59" s="295"/>
      <c r="F59" s="295"/>
      <c r="G59" s="317"/>
      <c r="H59" s="317"/>
      <c r="I59" s="295"/>
      <c r="J59" s="295"/>
      <c r="K59" s="295"/>
      <c r="L59" s="295"/>
      <c r="M59" s="353"/>
      <c r="N59" s="353"/>
      <c r="O59" s="353"/>
      <c r="P59" s="353"/>
      <c r="Q59" s="375"/>
      <c r="R59" s="376"/>
      <c r="S59" s="353"/>
      <c r="T59" s="353"/>
      <c r="U59" s="353"/>
      <c r="V59" s="618"/>
      <c r="W59" s="617"/>
      <c r="X59" s="619"/>
      <c r="Z59" s="5"/>
    </row>
    <row r="60" spans="1:26" ht="12.75">
      <c r="A60" s="321" t="s">
        <v>177</v>
      </c>
      <c r="B60" s="378"/>
      <c r="C60" s="295"/>
      <c r="D60" s="295"/>
      <c r="E60" s="295"/>
      <c r="F60" s="295"/>
      <c r="G60" s="317"/>
      <c r="H60" s="317"/>
      <c r="I60" s="295"/>
      <c r="J60" s="295"/>
      <c r="K60" s="295"/>
      <c r="L60" s="295"/>
      <c r="M60" s="353"/>
      <c r="N60" s="353"/>
      <c r="O60" s="353"/>
      <c r="P60" s="353"/>
      <c r="Q60" s="375"/>
      <c r="R60" s="376"/>
      <c r="S60" s="353"/>
      <c r="T60" s="353"/>
      <c r="U60" s="353"/>
      <c r="V60" s="618"/>
      <c r="W60" s="617"/>
      <c r="X60" s="619"/>
      <c r="Z60" s="5"/>
    </row>
    <row r="61" spans="1:26" ht="12.75">
      <c r="A61" s="321" t="s">
        <v>46</v>
      </c>
      <c r="B61" s="378"/>
      <c r="C61" s="295"/>
      <c r="D61" s="295"/>
      <c r="E61" s="295"/>
      <c r="F61" s="295"/>
      <c r="G61" s="317"/>
      <c r="H61" s="317"/>
      <c r="I61" s="295"/>
      <c r="J61" s="295"/>
      <c r="K61" s="295"/>
      <c r="L61" s="295"/>
      <c r="M61" s="353"/>
      <c r="N61" s="353"/>
      <c r="O61" s="353"/>
      <c r="P61" s="353"/>
      <c r="Q61" s="375"/>
      <c r="R61" s="376"/>
      <c r="S61" s="353"/>
      <c r="T61" s="353"/>
      <c r="U61" s="353"/>
      <c r="V61" s="618"/>
      <c r="W61" s="617"/>
      <c r="X61" s="619"/>
      <c r="Z61" s="5"/>
    </row>
    <row r="62" spans="1:26" ht="12.75">
      <c r="A62" s="321" t="s">
        <v>40</v>
      </c>
      <c r="B62" s="378"/>
      <c r="C62" s="295"/>
      <c r="D62" s="295"/>
      <c r="E62" s="295"/>
      <c r="F62" s="295"/>
      <c r="G62" s="317"/>
      <c r="H62" s="317"/>
      <c r="I62" s="295"/>
      <c r="J62" s="295"/>
      <c r="K62" s="295"/>
      <c r="L62" s="295"/>
      <c r="M62" s="353"/>
      <c r="N62" s="353"/>
      <c r="O62" s="353"/>
      <c r="P62" s="353"/>
      <c r="Q62" s="375"/>
      <c r="R62" s="376"/>
      <c r="S62" s="353"/>
      <c r="T62" s="353"/>
      <c r="U62" s="353"/>
      <c r="V62" s="618"/>
      <c r="W62" s="617"/>
      <c r="X62" s="619"/>
      <c r="Z62" s="5"/>
    </row>
    <row r="63" spans="1:26" ht="12.75">
      <c r="A63" s="321" t="s">
        <v>73</v>
      </c>
      <c r="B63" s="378"/>
      <c r="C63" s="295"/>
      <c r="D63" s="295"/>
      <c r="E63" s="295"/>
      <c r="F63" s="295"/>
      <c r="G63" s="295"/>
      <c r="H63" s="295"/>
      <c r="I63" s="295"/>
      <c r="J63" s="295"/>
      <c r="K63" s="295"/>
      <c r="L63" s="295"/>
      <c r="M63" s="353"/>
      <c r="N63" s="353"/>
      <c r="O63" s="353"/>
      <c r="P63" s="353"/>
      <c r="Q63" s="353"/>
      <c r="R63" s="353"/>
      <c r="S63" s="353"/>
      <c r="T63" s="353"/>
      <c r="U63" s="353"/>
      <c r="V63" s="618"/>
      <c r="W63" s="617"/>
      <c r="X63" s="619"/>
      <c r="Z63" s="5"/>
    </row>
    <row r="64" spans="1:26" ht="12.75">
      <c r="A64" s="321" t="s">
        <v>44</v>
      </c>
      <c r="B64" s="378"/>
      <c r="C64" s="295"/>
      <c r="D64" s="295"/>
      <c r="E64" s="295"/>
      <c r="F64" s="295"/>
      <c r="G64" s="317"/>
      <c r="H64" s="317"/>
      <c r="I64" s="295"/>
      <c r="J64" s="295"/>
      <c r="K64" s="295"/>
      <c r="L64" s="295"/>
      <c r="M64" s="353"/>
      <c r="N64" s="353"/>
      <c r="O64" s="353"/>
      <c r="P64" s="353"/>
      <c r="Q64" s="375"/>
      <c r="R64" s="376"/>
      <c r="S64" s="353"/>
      <c r="T64" s="353"/>
      <c r="U64" s="353"/>
      <c r="V64" s="618"/>
      <c r="W64" s="617"/>
      <c r="X64" s="619"/>
      <c r="Z64" s="5"/>
    </row>
    <row r="65" spans="1:26" ht="12.75">
      <c r="A65" s="321" t="s">
        <v>139</v>
      </c>
      <c r="B65" s="378"/>
      <c r="C65" s="295"/>
      <c r="D65" s="295"/>
      <c r="E65" s="295"/>
      <c r="F65" s="295"/>
      <c r="G65" s="317"/>
      <c r="H65" s="317"/>
      <c r="I65" s="295"/>
      <c r="J65" s="295"/>
      <c r="K65" s="295"/>
      <c r="L65" s="295"/>
      <c r="M65" s="353"/>
      <c r="N65" s="353"/>
      <c r="O65" s="353"/>
      <c r="P65" s="353"/>
      <c r="Q65" s="375"/>
      <c r="R65" s="376"/>
      <c r="S65" s="353"/>
      <c r="T65" s="353"/>
      <c r="U65" s="353"/>
      <c r="V65" s="618"/>
      <c r="W65" s="617"/>
      <c r="X65" s="619"/>
      <c r="Z65" s="5"/>
    </row>
    <row r="66" spans="1:26" ht="12.75">
      <c r="A66" s="321" t="s">
        <v>100</v>
      </c>
      <c r="B66" s="378"/>
      <c r="C66" s="295"/>
      <c r="D66" s="295"/>
      <c r="E66" s="295"/>
      <c r="F66" s="295"/>
      <c r="G66" s="317"/>
      <c r="H66" s="317"/>
      <c r="I66" s="295"/>
      <c r="J66" s="295"/>
      <c r="K66" s="295"/>
      <c r="L66" s="295"/>
      <c r="M66" s="353"/>
      <c r="N66" s="353"/>
      <c r="O66" s="353"/>
      <c r="P66" s="353"/>
      <c r="Q66" s="375"/>
      <c r="R66" s="376"/>
      <c r="S66" s="353"/>
      <c r="T66" s="353"/>
      <c r="U66" s="353"/>
      <c r="V66" s="618"/>
      <c r="W66" s="617"/>
      <c r="X66" s="619"/>
      <c r="Z66" s="5"/>
    </row>
    <row r="67" spans="1:26" ht="12.75">
      <c r="A67" s="321" t="s">
        <v>64</v>
      </c>
      <c r="B67" s="378"/>
      <c r="C67" s="295"/>
      <c r="D67" s="295"/>
      <c r="E67" s="295"/>
      <c r="F67" s="295"/>
      <c r="G67" s="317"/>
      <c r="H67" s="317"/>
      <c r="I67" s="295"/>
      <c r="J67" s="295"/>
      <c r="K67" s="295"/>
      <c r="L67" s="295"/>
      <c r="M67" s="353"/>
      <c r="N67" s="353"/>
      <c r="O67" s="353"/>
      <c r="P67" s="353"/>
      <c r="Q67" s="375"/>
      <c r="R67" s="376"/>
      <c r="S67" s="353"/>
      <c r="T67" s="353"/>
      <c r="U67" s="353"/>
      <c r="V67" s="618"/>
      <c r="W67" s="617"/>
      <c r="X67" s="619"/>
      <c r="Z67" s="5"/>
    </row>
    <row r="68" spans="1:26" ht="12.75">
      <c r="A68" s="321" t="s">
        <v>135</v>
      </c>
      <c r="B68" s="378"/>
      <c r="C68" s="295"/>
      <c r="D68" s="295"/>
      <c r="E68" s="295"/>
      <c r="F68" s="295"/>
      <c r="G68" s="317"/>
      <c r="H68" s="317"/>
      <c r="I68" s="295"/>
      <c r="J68" s="295"/>
      <c r="K68" s="295"/>
      <c r="L68" s="295"/>
      <c r="M68" s="353"/>
      <c r="N68" s="353"/>
      <c r="O68" s="353"/>
      <c r="P68" s="353"/>
      <c r="Q68" s="375"/>
      <c r="R68" s="376"/>
      <c r="S68" s="353"/>
      <c r="T68" s="353"/>
      <c r="U68" s="353"/>
      <c r="V68" s="618"/>
      <c r="W68" s="617"/>
      <c r="X68" s="619"/>
      <c r="Z68" s="5"/>
    </row>
    <row r="69" spans="1:26" ht="12.75">
      <c r="A69" s="321" t="s">
        <v>161</v>
      </c>
      <c r="B69" s="378"/>
      <c r="C69" s="295"/>
      <c r="D69" s="295"/>
      <c r="E69" s="295"/>
      <c r="F69" s="295"/>
      <c r="G69" s="317"/>
      <c r="H69" s="317"/>
      <c r="I69" s="295"/>
      <c r="J69" s="295"/>
      <c r="K69" s="295"/>
      <c r="L69" s="295"/>
      <c r="M69" s="353"/>
      <c r="N69" s="353"/>
      <c r="O69" s="353"/>
      <c r="P69" s="353"/>
      <c r="Q69" s="375"/>
      <c r="R69" s="376"/>
      <c r="S69" s="353"/>
      <c r="T69" s="353"/>
      <c r="U69" s="353"/>
      <c r="V69" s="618"/>
      <c r="W69" s="617"/>
      <c r="X69" s="619"/>
      <c r="Z69" s="5"/>
    </row>
    <row r="70" spans="1:26" ht="12.75">
      <c r="A70" s="321" t="s">
        <v>57</v>
      </c>
      <c r="B70" s="378"/>
      <c r="C70" s="295"/>
      <c r="D70" s="295"/>
      <c r="E70" s="295"/>
      <c r="F70" s="295"/>
      <c r="G70" s="317"/>
      <c r="H70" s="317"/>
      <c r="I70" s="295"/>
      <c r="J70" s="295"/>
      <c r="K70" s="295"/>
      <c r="L70" s="295"/>
      <c r="M70" s="353"/>
      <c r="N70" s="353"/>
      <c r="O70" s="353"/>
      <c r="P70" s="353"/>
      <c r="Q70" s="375"/>
      <c r="R70" s="376"/>
      <c r="S70" s="353"/>
      <c r="T70" s="353"/>
      <c r="U70" s="353"/>
      <c r="V70" s="618"/>
      <c r="W70" s="617"/>
      <c r="X70" s="619"/>
      <c r="Z70" s="5"/>
    </row>
    <row r="71" spans="1:26" ht="12.75">
      <c r="A71" s="321" t="s">
        <v>3</v>
      </c>
      <c r="B71" s="295">
        <v>21.3</v>
      </c>
      <c r="C71" s="295">
        <v>21.7</v>
      </c>
      <c r="D71" s="295">
        <v>21.4</v>
      </c>
      <c r="E71" s="377">
        <v>21.4</v>
      </c>
      <c r="F71" s="377">
        <v>22.3</v>
      </c>
      <c r="G71" s="295">
        <v>22.3</v>
      </c>
      <c r="H71" s="295"/>
      <c r="I71" s="295"/>
      <c r="J71" s="295"/>
      <c r="K71" s="295"/>
      <c r="L71" s="295"/>
      <c r="M71" s="353"/>
      <c r="N71" s="353"/>
      <c r="O71" s="353"/>
      <c r="P71" s="353"/>
      <c r="Q71" s="353"/>
      <c r="R71" s="353"/>
      <c r="S71" s="353"/>
      <c r="T71" s="353"/>
      <c r="U71" s="353"/>
      <c r="V71" s="618">
        <f>SUM(B71:U71)/6</f>
        <v>21.733333333333334</v>
      </c>
      <c r="W71" s="617">
        <v>5238000</v>
      </c>
      <c r="X71" s="619">
        <f>V71/W71*2.5*100000</f>
        <v>1.0372915871197659</v>
      </c>
      <c r="Z71" s="5"/>
    </row>
    <row r="72" spans="1:26" ht="12.75">
      <c r="A72" s="321" t="s">
        <v>22</v>
      </c>
      <c r="B72" s="295">
        <v>394.4</v>
      </c>
      <c r="C72" s="295">
        <v>400.9</v>
      </c>
      <c r="D72" s="295">
        <v>415.5</v>
      </c>
      <c r="E72" s="377">
        <v>415.5</v>
      </c>
      <c r="F72" s="377">
        <v>430.9</v>
      </c>
      <c r="G72" s="295">
        <v>430.9</v>
      </c>
      <c r="H72" s="295"/>
      <c r="I72" s="295"/>
      <c r="J72" s="295"/>
      <c r="K72" s="295"/>
      <c r="L72" s="295"/>
      <c r="M72" s="353"/>
      <c r="N72" s="353"/>
      <c r="O72" s="353"/>
      <c r="P72" s="353"/>
      <c r="Q72" s="353"/>
      <c r="R72" s="353"/>
      <c r="S72" s="353"/>
      <c r="T72" s="353"/>
      <c r="U72" s="353"/>
      <c r="V72" s="618">
        <f>SUM(B72:U72)/6</f>
        <v>414.68333333333334</v>
      </c>
      <c r="W72" s="617">
        <v>62226000</v>
      </c>
      <c r="X72" s="619">
        <f>V72/W72*2.5*100000</f>
        <v>1.6660372405961066</v>
      </c>
      <c r="Z72" s="5"/>
    </row>
    <row r="73" spans="1:26" ht="12.75">
      <c r="A73" s="321" t="s">
        <v>171</v>
      </c>
      <c r="B73" s="378"/>
      <c r="C73" s="295"/>
      <c r="D73" s="295"/>
      <c r="E73" s="295"/>
      <c r="F73" s="295"/>
      <c r="G73" s="317"/>
      <c r="H73" s="317"/>
      <c r="I73" s="295"/>
      <c r="J73" s="295"/>
      <c r="K73" s="295"/>
      <c r="L73" s="295"/>
      <c r="M73" s="353"/>
      <c r="N73" s="353"/>
      <c r="O73" s="353"/>
      <c r="P73" s="353"/>
      <c r="Q73" s="375"/>
      <c r="R73" s="376"/>
      <c r="S73" s="353"/>
      <c r="T73" s="353"/>
      <c r="U73" s="353"/>
      <c r="V73" s="618"/>
      <c r="W73" s="617"/>
      <c r="X73" s="619"/>
      <c r="Z73" s="5"/>
    </row>
    <row r="74" spans="1:26" ht="12.75">
      <c r="A74" s="321" t="s">
        <v>173</v>
      </c>
      <c r="B74" s="378"/>
      <c r="C74" s="295"/>
      <c r="D74" s="295"/>
      <c r="E74" s="295"/>
      <c r="F74" s="295"/>
      <c r="G74" s="295"/>
      <c r="H74" s="295"/>
      <c r="I74" s="295"/>
      <c r="J74" s="295"/>
      <c r="K74" s="295"/>
      <c r="L74" s="295"/>
      <c r="M74" s="353"/>
      <c r="N74" s="353"/>
      <c r="O74" s="353"/>
      <c r="P74" s="353"/>
      <c r="Q74" s="353"/>
      <c r="R74" s="353"/>
      <c r="S74" s="353"/>
      <c r="T74" s="353"/>
      <c r="U74" s="353"/>
      <c r="V74" s="618"/>
      <c r="W74" s="617"/>
      <c r="X74" s="619"/>
      <c r="Z74" s="5"/>
    </row>
    <row r="75" spans="1:26" ht="12.75">
      <c r="A75" s="321" t="s">
        <v>96</v>
      </c>
      <c r="B75" s="378"/>
      <c r="C75" s="295"/>
      <c r="D75" s="295"/>
      <c r="E75" s="295"/>
      <c r="F75" s="295"/>
      <c r="G75" s="317"/>
      <c r="H75" s="317"/>
      <c r="I75" s="295"/>
      <c r="J75" s="295"/>
      <c r="K75" s="295"/>
      <c r="L75" s="295"/>
      <c r="M75" s="353"/>
      <c r="N75" s="353"/>
      <c r="O75" s="353"/>
      <c r="P75" s="353"/>
      <c r="Q75" s="375"/>
      <c r="R75" s="376"/>
      <c r="S75" s="353"/>
      <c r="T75" s="353"/>
      <c r="U75" s="353"/>
      <c r="V75" s="618"/>
      <c r="W75" s="617"/>
      <c r="X75" s="619"/>
      <c r="Z75" s="6"/>
    </row>
    <row r="76" spans="1:26" ht="12.75">
      <c r="A76" s="321" t="s">
        <v>113</v>
      </c>
      <c r="B76" s="378"/>
      <c r="C76" s="295"/>
      <c r="D76" s="295"/>
      <c r="E76" s="295"/>
      <c r="F76" s="295"/>
      <c r="G76" s="317"/>
      <c r="H76" s="317"/>
      <c r="I76" s="295"/>
      <c r="J76" s="295"/>
      <c r="K76" s="295"/>
      <c r="L76" s="295"/>
      <c r="M76" s="353"/>
      <c r="N76" s="353"/>
      <c r="O76" s="353"/>
      <c r="P76" s="353"/>
      <c r="Q76" s="375"/>
      <c r="R76" s="376"/>
      <c r="S76" s="353"/>
      <c r="T76" s="353"/>
      <c r="U76" s="353"/>
      <c r="V76" s="618"/>
      <c r="W76" s="617"/>
      <c r="X76" s="619"/>
      <c r="Z76" s="5"/>
    </row>
    <row r="77" spans="1:26" ht="12.75">
      <c r="A77" s="321" t="s">
        <v>66</v>
      </c>
      <c r="B77" s="378"/>
      <c r="C77" s="295"/>
      <c r="D77" s="295"/>
      <c r="E77" s="295"/>
      <c r="F77" s="295"/>
      <c r="G77" s="317"/>
      <c r="H77" s="317"/>
      <c r="I77" s="295"/>
      <c r="J77" s="295"/>
      <c r="K77" s="295"/>
      <c r="L77" s="295"/>
      <c r="M77" s="353"/>
      <c r="N77" s="353"/>
      <c r="O77" s="353"/>
      <c r="P77" s="353"/>
      <c r="Q77" s="375"/>
      <c r="R77" s="376"/>
      <c r="S77" s="353"/>
      <c r="T77" s="353"/>
      <c r="U77" s="353"/>
      <c r="V77" s="618"/>
      <c r="W77" s="617"/>
      <c r="X77" s="619"/>
      <c r="Z77" s="5"/>
    </row>
    <row r="78" spans="1:26" ht="12.75">
      <c r="A78" s="321" t="s">
        <v>30</v>
      </c>
      <c r="B78" s="295">
        <v>161.2</v>
      </c>
      <c r="C78" s="295">
        <v>162.6</v>
      </c>
      <c r="D78" s="295">
        <v>163.3</v>
      </c>
      <c r="E78" s="377">
        <v>163.3</v>
      </c>
      <c r="F78" s="377">
        <v>154.6</v>
      </c>
      <c r="G78" s="295">
        <v>154.6</v>
      </c>
      <c r="H78" s="295"/>
      <c r="I78" s="295"/>
      <c r="J78" s="295"/>
      <c r="K78" s="295"/>
      <c r="L78" s="295"/>
      <c r="M78" s="353"/>
      <c r="N78" s="353"/>
      <c r="O78" s="353"/>
      <c r="P78" s="353"/>
      <c r="Q78" s="353"/>
      <c r="R78" s="353"/>
      <c r="S78" s="353"/>
      <c r="T78" s="353"/>
      <c r="U78" s="353"/>
      <c r="V78" s="618">
        <f>SUM(B78:U78)/6</f>
        <v>159.93333333333334</v>
      </c>
      <c r="W78" s="617">
        <v>82401000</v>
      </c>
      <c r="X78" s="619">
        <f>V78/W78*2.5*100000</f>
        <v>0.48522873913342474</v>
      </c>
      <c r="Z78" s="5"/>
    </row>
    <row r="79" spans="1:26" ht="12.75">
      <c r="A79" s="321" t="s">
        <v>108</v>
      </c>
      <c r="B79" s="378"/>
      <c r="C79" s="295"/>
      <c r="D79" s="295"/>
      <c r="E79" s="295"/>
      <c r="F79" s="295"/>
      <c r="G79" s="317"/>
      <c r="H79" s="317"/>
      <c r="I79" s="295"/>
      <c r="J79" s="295"/>
      <c r="K79" s="295"/>
      <c r="L79" s="295"/>
      <c r="M79" s="353"/>
      <c r="N79" s="353"/>
      <c r="O79" s="353"/>
      <c r="P79" s="353"/>
      <c r="Q79" s="375"/>
      <c r="R79" s="376"/>
      <c r="S79" s="353"/>
      <c r="T79" s="353"/>
      <c r="U79" s="353"/>
      <c r="V79" s="618"/>
      <c r="W79" s="617"/>
      <c r="X79" s="619"/>
      <c r="Z79" s="5"/>
    </row>
    <row r="80" spans="1:26" ht="12.75">
      <c r="A80" s="321" t="s">
        <v>76</v>
      </c>
      <c r="B80" s="378"/>
      <c r="C80" s="295"/>
      <c r="D80" s="295"/>
      <c r="E80" s="295"/>
      <c r="F80" s="295"/>
      <c r="G80" s="317"/>
      <c r="H80" s="317"/>
      <c r="I80" s="295"/>
      <c r="J80" s="295"/>
      <c r="K80" s="295"/>
      <c r="L80" s="295"/>
      <c r="M80" s="353"/>
      <c r="N80" s="353"/>
      <c r="O80" s="353"/>
      <c r="P80" s="353"/>
      <c r="Q80" s="375"/>
      <c r="R80" s="376"/>
      <c r="S80" s="353"/>
      <c r="T80" s="353"/>
      <c r="U80" s="353"/>
      <c r="V80" s="618"/>
      <c r="W80" s="617"/>
      <c r="X80" s="619"/>
      <c r="Z80" s="5"/>
    </row>
    <row r="81" spans="1:26" ht="12.75">
      <c r="A81" s="324" t="s">
        <v>164</v>
      </c>
      <c r="B81" s="378"/>
      <c r="C81" s="295"/>
      <c r="D81" s="295"/>
      <c r="E81" s="295"/>
      <c r="F81" s="295"/>
      <c r="G81" s="317"/>
      <c r="H81" s="317"/>
      <c r="I81" s="295"/>
      <c r="J81" s="295"/>
      <c r="K81" s="295"/>
      <c r="L81" s="295"/>
      <c r="M81" s="353"/>
      <c r="N81" s="353"/>
      <c r="O81" s="353"/>
      <c r="P81" s="353"/>
      <c r="Q81" s="375"/>
      <c r="R81" s="376"/>
      <c r="S81" s="353"/>
      <c r="T81" s="353"/>
      <c r="U81" s="353"/>
      <c r="V81" s="618"/>
      <c r="W81" s="617"/>
      <c r="X81" s="619"/>
      <c r="Z81" s="5"/>
    </row>
    <row r="82" spans="1:26" ht="12.75">
      <c r="A82" s="321" t="s">
        <v>176</v>
      </c>
      <c r="B82" s="378"/>
      <c r="C82" s="295"/>
      <c r="D82" s="295"/>
      <c r="E82" s="295"/>
      <c r="F82" s="295"/>
      <c r="G82" s="295"/>
      <c r="H82" s="295"/>
      <c r="I82" s="295"/>
      <c r="J82" s="295"/>
      <c r="K82" s="295"/>
      <c r="L82" s="295"/>
      <c r="M82" s="353"/>
      <c r="N82" s="353"/>
      <c r="O82" s="353"/>
      <c r="P82" s="353"/>
      <c r="Q82" s="353"/>
      <c r="R82" s="353"/>
      <c r="S82" s="353"/>
      <c r="T82" s="353"/>
      <c r="U82" s="353"/>
      <c r="V82" s="618"/>
      <c r="W82" s="617"/>
      <c r="X82" s="619"/>
      <c r="Z82" s="5"/>
    </row>
    <row r="83" spans="1:26" ht="12.75">
      <c r="A83" s="321" t="s">
        <v>168</v>
      </c>
      <c r="B83" s="378"/>
      <c r="C83" s="295"/>
      <c r="D83" s="295"/>
      <c r="E83" s="295"/>
      <c r="F83" s="295"/>
      <c r="G83" s="317"/>
      <c r="H83" s="317"/>
      <c r="I83" s="295"/>
      <c r="J83" s="295"/>
      <c r="K83" s="295"/>
      <c r="L83" s="295"/>
      <c r="M83" s="353"/>
      <c r="N83" s="353"/>
      <c r="O83" s="353"/>
      <c r="P83" s="353"/>
      <c r="Q83" s="375"/>
      <c r="R83" s="376"/>
      <c r="S83" s="353"/>
      <c r="T83" s="353"/>
      <c r="U83" s="353"/>
      <c r="V83" s="618"/>
      <c r="W83" s="617"/>
      <c r="X83" s="619"/>
      <c r="Z83" s="5"/>
    </row>
    <row r="84" spans="1:26" ht="12.75">
      <c r="A84" s="321" t="s">
        <v>104</v>
      </c>
      <c r="B84" s="378"/>
      <c r="C84" s="295"/>
      <c r="D84" s="295"/>
      <c r="E84" s="295"/>
      <c r="F84" s="295"/>
      <c r="G84" s="317"/>
      <c r="H84" s="317"/>
      <c r="I84" s="295"/>
      <c r="J84" s="295"/>
      <c r="K84" s="295"/>
      <c r="L84" s="295"/>
      <c r="M84" s="353"/>
      <c r="N84" s="353"/>
      <c r="O84" s="353"/>
      <c r="P84" s="353"/>
      <c r="Q84" s="375"/>
      <c r="R84" s="376"/>
      <c r="S84" s="353"/>
      <c r="T84" s="353"/>
      <c r="U84" s="353"/>
      <c r="V84" s="618"/>
      <c r="W84" s="617"/>
      <c r="X84" s="619"/>
      <c r="Z84" s="10"/>
    </row>
    <row r="85" spans="1:26" ht="12.75">
      <c r="A85" s="321" t="s">
        <v>130</v>
      </c>
      <c r="B85" s="378"/>
      <c r="C85" s="295"/>
      <c r="D85" s="295"/>
      <c r="E85" s="295"/>
      <c r="F85" s="295"/>
      <c r="G85" s="317"/>
      <c r="H85" s="317"/>
      <c r="I85" s="295"/>
      <c r="J85" s="295"/>
      <c r="K85" s="295"/>
      <c r="L85" s="295"/>
      <c r="M85" s="353"/>
      <c r="N85" s="353"/>
      <c r="O85" s="353"/>
      <c r="P85" s="353"/>
      <c r="Q85" s="375"/>
      <c r="R85" s="376"/>
      <c r="S85" s="353"/>
      <c r="T85" s="353"/>
      <c r="U85" s="353"/>
      <c r="V85" s="618"/>
      <c r="W85" s="617"/>
      <c r="X85" s="619"/>
      <c r="Z85" s="5"/>
    </row>
    <row r="86" spans="1:26" ht="12.75">
      <c r="A86" s="321" t="s">
        <v>126</v>
      </c>
      <c r="B86" s="378"/>
      <c r="C86" s="295"/>
      <c r="D86" s="295"/>
      <c r="E86" s="295"/>
      <c r="F86" s="295"/>
      <c r="G86" s="317"/>
      <c r="H86" s="317"/>
      <c r="I86" s="295"/>
      <c r="J86" s="295"/>
      <c r="K86" s="295"/>
      <c r="L86" s="295"/>
      <c r="M86" s="353"/>
      <c r="N86" s="353"/>
      <c r="O86" s="353"/>
      <c r="P86" s="353"/>
      <c r="Q86" s="375"/>
      <c r="R86" s="376"/>
      <c r="S86" s="353"/>
      <c r="T86" s="353"/>
      <c r="U86" s="353"/>
      <c r="V86" s="618"/>
      <c r="W86" s="617"/>
      <c r="X86" s="619"/>
      <c r="Z86" s="5"/>
    </row>
    <row r="87" spans="1:26" ht="12.75">
      <c r="A87" s="321" t="s">
        <v>85</v>
      </c>
      <c r="B87" s="378"/>
      <c r="C87" s="295"/>
      <c r="D87" s="295"/>
      <c r="E87" s="295"/>
      <c r="F87" s="295"/>
      <c r="G87" s="317"/>
      <c r="H87" s="317"/>
      <c r="I87" s="295"/>
      <c r="J87" s="295"/>
      <c r="K87" s="295"/>
      <c r="L87" s="295"/>
      <c r="M87" s="353"/>
      <c r="N87" s="353"/>
      <c r="O87" s="353"/>
      <c r="P87" s="353"/>
      <c r="Q87" s="375"/>
      <c r="R87" s="376"/>
      <c r="S87" s="353"/>
      <c r="T87" s="353"/>
      <c r="U87" s="353"/>
      <c r="V87" s="618"/>
      <c r="W87" s="617"/>
      <c r="X87" s="619"/>
      <c r="Z87" s="5"/>
    </row>
    <row r="88" spans="1:26" ht="12.75">
      <c r="A88" s="321" t="s">
        <v>148</v>
      </c>
      <c r="B88" s="378"/>
      <c r="C88" s="295"/>
      <c r="D88" s="295"/>
      <c r="E88" s="295"/>
      <c r="F88" s="295"/>
      <c r="G88" s="317"/>
      <c r="H88" s="317"/>
      <c r="I88" s="295"/>
      <c r="J88" s="295"/>
      <c r="K88" s="295"/>
      <c r="L88" s="295"/>
      <c r="M88" s="353"/>
      <c r="N88" s="353"/>
      <c r="O88" s="353"/>
      <c r="P88" s="353"/>
      <c r="Q88" s="375"/>
      <c r="R88" s="376"/>
      <c r="S88" s="353"/>
      <c r="T88" s="353"/>
      <c r="U88" s="353"/>
      <c r="V88" s="618"/>
      <c r="W88" s="617"/>
      <c r="X88" s="619"/>
      <c r="Z88" s="5"/>
    </row>
    <row r="89" spans="1:26" ht="12.75">
      <c r="A89" s="321" t="s">
        <v>114</v>
      </c>
      <c r="B89" s="378"/>
      <c r="C89" s="295"/>
      <c r="D89" s="295"/>
      <c r="E89" s="295"/>
      <c r="F89" s="295"/>
      <c r="G89" s="317"/>
      <c r="H89" s="317"/>
      <c r="I89" s="295"/>
      <c r="J89" s="295"/>
      <c r="K89" s="295"/>
      <c r="L89" s="295"/>
      <c r="M89" s="353"/>
      <c r="N89" s="353"/>
      <c r="O89" s="353"/>
      <c r="P89" s="353"/>
      <c r="Q89" s="375"/>
      <c r="R89" s="376"/>
      <c r="S89" s="353"/>
      <c r="T89" s="353"/>
      <c r="U89" s="353"/>
      <c r="V89" s="618"/>
      <c r="W89" s="617"/>
      <c r="X89" s="619"/>
      <c r="Z89" s="5"/>
    </row>
    <row r="90" spans="1:26" ht="12.75">
      <c r="A90" s="321" t="s">
        <v>43</v>
      </c>
      <c r="B90" s="295">
        <v>13.5</v>
      </c>
      <c r="C90" s="295">
        <v>13.4</v>
      </c>
      <c r="D90" s="295">
        <v>12.8</v>
      </c>
      <c r="E90" s="377">
        <v>12.8</v>
      </c>
      <c r="F90" s="377">
        <v>13</v>
      </c>
      <c r="G90" s="295">
        <v>13</v>
      </c>
      <c r="H90" s="295"/>
      <c r="I90" s="295"/>
      <c r="J90" s="295"/>
      <c r="K90" s="295"/>
      <c r="L90" s="295"/>
      <c r="M90" s="353"/>
      <c r="N90" s="353"/>
      <c r="O90" s="353"/>
      <c r="P90" s="353"/>
      <c r="Q90" s="353"/>
      <c r="R90" s="353"/>
      <c r="S90" s="353"/>
      <c r="T90" s="353"/>
      <c r="U90" s="353"/>
      <c r="V90" s="618">
        <f>SUM(B90:U90)/6</f>
        <v>13.083333333333334</v>
      </c>
      <c r="W90" s="617">
        <v>10034000</v>
      </c>
      <c r="X90" s="619">
        <f>V90/W90*2.5*100000</f>
        <v>0.3259750182712112</v>
      </c>
      <c r="Z90" s="5"/>
    </row>
    <row r="91" spans="1:26" ht="12.75">
      <c r="A91" s="321" t="s">
        <v>16</v>
      </c>
      <c r="B91" s="378"/>
      <c r="C91" s="295"/>
      <c r="D91" s="295"/>
      <c r="E91" s="295"/>
      <c r="F91" s="295"/>
      <c r="G91" s="317"/>
      <c r="H91" s="317"/>
      <c r="I91" s="295"/>
      <c r="J91" s="295"/>
      <c r="K91" s="295"/>
      <c r="L91" s="295"/>
      <c r="M91" s="353"/>
      <c r="N91" s="353"/>
      <c r="O91" s="353"/>
      <c r="P91" s="353"/>
      <c r="Q91" s="375"/>
      <c r="R91" s="376"/>
      <c r="S91" s="353"/>
      <c r="T91" s="353"/>
      <c r="U91" s="353"/>
      <c r="V91" s="618"/>
      <c r="W91" s="617"/>
      <c r="X91" s="619"/>
      <c r="Z91" s="10"/>
    </row>
    <row r="92" spans="1:26" ht="12.75">
      <c r="A92" s="321" t="s">
        <v>118</v>
      </c>
      <c r="B92" s="295">
        <v>14.1</v>
      </c>
      <c r="C92" s="295">
        <v>18.2</v>
      </c>
      <c r="D92" s="295">
        <v>17.8</v>
      </c>
      <c r="E92" s="377">
        <v>17.8</v>
      </c>
      <c r="F92" s="377">
        <v>15.7</v>
      </c>
      <c r="G92" s="295">
        <v>15.7</v>
      </c>
      <c r="H92" s="295"/>
      <c r="I92" s="295"/>
      <c r="J92" s="295"/>
      <c r="K92" s="295"/>
      <c r="L92" s="295"/>
      <c r="M92" s="353"/>
      <c r="N92" s="353"/>
      <c r="O92" s="353"/>
      <c r="P92" s="353"/>
      <c r="Q92" s="353"/>
      <c r="R92" s="353"/>
      <c r="S92" s="353"/>
      <c r="T92" s="353"/>
      <c r="U92" s="353"/>
      <c r="V92" s="618">
        <f>SUM(B92:U92)/6</f>
        <v>16.55</v>
      </c>
      <c r="W92" s="617">
        <v>1124135000</v>
      </c>
      <c r="X92" s="619">
        <f>V92/W92*2.5*100000</f>
        <v>0.003680607756185867</v>
      </c>
      <c r="Z92" s="5"/>
    </row>
    <row r="93" spans="1:26" ht="12.75">
      <c r="A93" s="321" t="s">
        <v>128</v>
      </c>
      <c r="B93" s="378"/>
      <c r="C93" s="295"/>
      <c r="D93" s="295"/>
      <c r="E93" s="295"/>
      <c r="F93" s="295"/>
      <c r="G93" s="317"/>
      <c r="H93" s="317"/>
      <c r="I93" s="295"/>
      <c r="J93" s="295"/>
      <c r="K93" s="295"/>
      <c r="L93" s="295"/>
      <c r="M93" s="353"/>
      <c r="N93" s="353"/>
      <c r="O93" s="353"/>
      <c r="P93" s="353"/>
      <c r="Q93" s="375"/>
      <c r="R93" s="376"/>
      <c r="S93" s="353"/>
      <c r="T93" s="353"/>
      <c r="U93" s="353"/>
      <c r="V93" s="618"/>
      <c r="W93" s="617"/>
      <c r="X93" s="619"/>
      <c r="Z93" s="5"/>
    </row>
    <row r="94" spans="1:26" ht="12.75">
      <c r="A94" s="321" t="s">
        <v>4</v>
      </c>
      <c r="B94" s="378"/>
      <c r="C94" s="295"/>
      <c r="D94" s="295"/>
      <c r="E94" s="295"/>
      <c r="F94" s="295"/>
      <c r="G94" s="317"/>
      <c r="H94" s="317"/>
      <c r="I94" s="295"/>
      <c r="J94" s="295"/>
      <c r="K94" s="295"/>
      <c r="L94" s="295"/>
      <c r="M94" s="353"/>
      <c r="N94" s="353"/>
      <c r="O94" s="353"/>
      <c r="P94" s="353"/>
      <c r="Q94" s="375"/>
      <c r="R94" s="376"/>
      <c r="S94" s="353"/>
      <c r="T94" s="353"/>
      <c r="U94" s="353"/>
      <c r="V94" s="618"/>
      <c r="W94" s="617"/>
      <c r="X94" s="619"/>
      <c r="Z94" s="5"/>
    </row>
    <row r="95" spans="1:26" ht="12.75">
      <c r="A95" s="321" t="s">
        <v>143</v>
      </c>
      <c r="B95" s="378"/>
      <c r="C95" s="295"/>
      <c r="D95" s="295"/>
      <c r="E95" s="295"/>
      <c r="F95" s="295"/>
      <c r="G95" s="317"/>
      <c r="H95" s="317"/>
      <c r="I95" s="295"/>
      <c r="J95" s="295"/>
      <c r="K95" s="295"/>
      <c r="L95" s="295"/>
      <c r="M95" s="353"/>
      <c r="N95" s="353"/>
      <c r="O95" s="353"/>
      <c r="P95" s="353"/>
      <c r="Q95" s="375"/>
      <c r="R95" s="376"/>
      <c r="S95" s="353"/>
      <c r="T95" s="353"/>
      <c r="U95" s="353"/>
      <c r="V95" s="618"/>
      <c r="W95" s="617"/>
      <c r="X95" s="619"/>
      <c r="Z95" s="5"/>
    </row>
    <row r="96" spans="1:26" ht="12.75">
      <c r="A96" s="321" t="s">
        <v>53</v>
      </c>
      <c r="B96" s="378"/>
      <c r="C96" s="295"/>
      <c r="D96" s="295"/>
      <c r="E96" s="295"/>
      <c r="F96" s="295"/>
      <c r="G96" s="317"/>
      <c r="H96" s="317"/>
      <c r="I96" s="295"/>
      <c r="J96" s="295"/>
      <c r="K96" s="295"/>
      <c r="L96" s="295"/>
      <c r="M96" s="353"/>
      <c r="N96" s="353"/>
      <c r="O96" s="353"/>
      <c r="P96" s="353"/>
      <c r="Q96" s="375"/>
      <c r="R96" s="376"/>
      <c r="S96" s="353"/>
      <c r="T96" s="353"/>
      <c r="U96" s="353"/>
      <c r="V96" s="618"/>
      <c r="W96" s="617"/>
      <c r="X96" s="619"/>
      <c r="Z96" s="5"/>
    </row>
    <row r="97" spans="1:26" ht="12.75">
      <c r="A97" s="321" t="s">
        <v>5</v>
      </c>
      <c r="B97" s="378"/>
      <c r="C97" s="295"/>
      <c r="D97" s="295"/>
      <c r="E97" s="295"/>
      <c r="F97" s="295"/>
      <c r="G97" s="317"/>
      <c r="H97" s="317"/>
      <c r="I97" s="295"/>
      <c r="J97" s="295"/>
      <c r="K97" s="295"/>
      <c r="L97" s="295"/>
      <c r="M97" s="353"/>
      <c r="N97" s="353"/>
      <c r="O97" s="353"/>
      <c r="P97" s="353"/>
      <c r="Q97" s="375"/>
      <c r="R97" s="376"/>
      <c r="S97" s="353"/>
      <c r="T97" s="353"/>
      <c r="U97" s="353"/>
      <c r="V97" s="618"/>
      <c r="W97" s="617"/>
      <c r="X97" s="619"/>
      <c r="Z97" s="5"/>
    </row>
    <row r="98" spans="1:26" ht="12.75">
      <c r="A98" s="321" t="s">
        <v>31</v>
      </c>
      <c r="B98" s="378"/>
      <c r="C98" s="295"/>
      <c r="D98" s="295"/>
      <c r="E98" s="295"/>
      <c r="F98" s="295"/>
      <c r="G98" s="317"/>
      <c r="H98" s="317"/>
      <c r="I98" s="295"/>
      <c r="J98" s="295"/>
      <c r="K98" s="295"/>
      <c r="L98" s="295"/>
      <c r="M98" s="353"/>
      <c r="N98" s="353"/>
      <c r="O98" s="353"/>
      <c r="P98" s="353"/>
      <c r="Q98" s="375"/>
      <c r="R98" s="376"/>
      <c r="S98" s="353"/>
      <c r="T98" s="353"/>
      <c r="U98" s="353"/>
      <c r="V98" s="618"/>
      <c r="W98" s="617"/>
      <c r="X98" s="619"/>
      <c r="Z98" s="5"/>
    </row>
    <row r="99" spans="1:26" ht="12.75">
      <c r="A99" s="321" t="s">
        <v>90</v>
      </c>
      <c r="B99" s="378"/>
      <c r="C99" s="295"/>
      <c r="D99" s="295"/>
      <c r="E99" s="295"/>
      <c r="F99" s="295"/>
      <c r="G99" s="295"/>
      <c r="H99" s="295"/>
      <c r="I99" s="295"/>
      <c r="J99" s="295"/>
      <c r="K99" s="295"/>
      <c r="L99" s="295"/>
      <c r="M99" s="353"/>
      <c r="N99" s="353"/>
      <c r="O99" s="353"/>
      <c r="P99" s="353"/>
      <c r="Q99" s="353"/>
      <c r="R99" s="353"/>
      <c r="S99" s="353"/>
      <c r="T99" s="353"/>
      <c r="U99" s="353"/>
      <c r="V99" s="618"/>
      <c r="W99" s="617"/>
      <c r="X99" s="619"/>
      <c r="Z99" s="5"/>
    </row>
    <row r="100" spans="1:26" ht="12.75">
      <c r="A100" s="321" t="s">
        <v>6</v>
      </c>
      <c r="B100" s="295">
        <v>293.8</v>
      </c>
      <c r="C100" s="295">
        <v>309</v>
      </c>
      <c r="D100" s="295">
        <v>313.8</v>
      </c>
      <c r="E100" s="377">
        <v>313.8</v>
      </c>
      <c r="F100" s="377">
        <v>280.7</v>
      </c>
      <c r="G100" s="295">
        <v>280.7</v>
      </c>
      <c r="H100" s="295"/>
      <c r="I100" s="295"/>
      <c r="J100" s="295"/>
      <c r="K100" s="295"/>
      <c r="L100" s="295"/>
      <c r="M100" s="353"/>
      <c r="N100" s="353"/>
      <c r="O100" s="353"/>
      <c r="P100" s="353"/>
      <c r="Q100" s="353"/>
      <c r="R100" s="353"/>
      <c r="S100" s="353"/>
      <c r="T100" s="353"/>
      <c r="U100" s="353"/>
      <c r="V100" s="618">
        <f>SUM(B100:U100)/6</f>
        <v>298.6333333333333</v>
      </c>
      <c r="W100" s="617">
        <v>127433000</v>
      </c>
      <c r="X100" s="619">
        <f>V100/W100*2.5*100000</f>
        <v>0.5858634210395528</v>
      </c>
      <c r="Z100" s="5"/>
    </row>
    <row r="101" spans="1:26" ht="12.75">
      <c r="A101" s="321" t="s">
        <v>98</v>
      </c>
      <c r="B101" s="378"/>
      <c r="C101" s="295"/>
      <c r="D101" s="295"/>
      <c r="E101" s="295"/>
      <c r="F101" s="295"/>
      <c r="G101" s="317"/>
      <c r="H101" s="317"/>
      <c r="I101" s="295"/>
      <c r="J101" s="295"/>
      <c r="K101" s="295"/>
      <c r="L101" s="295"/>
      <c r="M101" s="353"/>
      <c r="N101" s="353"/>
      <c r="O101" s="353"/>
      <c r="P101" s="353"/>
      <c r="Q101" s="375"/>
      <c r="R101" s="376"/>
      <c r="S101" s="353"/>
      <c r="T101" s="353"/>
      <c r="U101" s="353"/>
      <c r="V101" s="618"/>
      <c r="W101" s="617"/>
      <c r="X101" s="619"/>
      <c r="Z101" s="5"/>
    </row>
    <row r="102" spans="1:26" ht="12.75">
      <c r="A102" s="321" t="s">
        <v>93</v>
      </c>
      <c r="B102" s="378"/>
      <c r="C102" s="295"/>
      <c r="D102" s="295"/>
      <c r="E102" s="295"/>
      <c r="F102" s="295"/>
      <c r="G102" s="317"/>
      <c r="H102" s="317"/>
      <c r="I102" s="295"/>
      <c r="J102" s="295"/>
      <c r="K102" s="295"/>
      <c r="L102" s="295"/>
      <c r="M102" s="353"/>
      <c r="N102" s="353"/>
      <c r="O102" s="353"/>
      <c r="P102" s="353"/>
      <c r="Q102" s="375"/>
      <c r="R102" s="376"/>
      <c r="S102" s="353"/>
      <c r="T102" s="353"/>
      <c r="U102" s="353"/>
      <c r="V102" s="618"/>
      <c r="W102" s="617"/>
      <c r="X102" s="619"/>
      <c r="Z102" s="5"/>
    </row>
    <row r="103" spans="1:26" ht="12.75">
      <c r="A103" s="321" t="s">
        <v>107</v>
      </c>
      <c r="B103" s="378"/>
      <c r="C103" s="295"/>
      <c r="D103" s="295"/>
      <c r="E103" s="295"/>
      <c r="F103" s="295"/>
      <c r="G103" s="317"/>
      <c r="H103" s="317"/>
      <c r="I103" s="295"/>
      <c r="J103" s="295"/>
      <c r="K103" s="295"/>
      <c r="L103" s="295"/>
      <c r="M103" s="353"/>
      <c r="N103" s="353"/>
      <c r="O103" s="353"/>
      <c r="P103" s="353"/>
      <c r="Q103" s="375"/>
      <c r="R103" s="376"/>
      <c r="S103" s="353"/>
      <c r="T103" s="353"/>
      <c r="U103" s="353"/>
      <c r="V103" s="618"/>
      <c r="W103" s="617"/>
      <c r="X103" s="619"/>
      <c r="Z103" s="5"/>
    </row>
    <row r="104" spans="1:26" ht="12.75">
      <c r="A104" s="321" t="s">
        <v>183</v>
      </c>
      <c r="B104" s="378"/>
      <c r="C104" s="295"/>
      <c r="D104" s="295"/>
      <c r="E104" s="295"/>
      <c r="F104" s="295"/>
      <c r="G104" s="317"/>
      <c r="H104" s="317"/>
      <c r="I104" s="295"/>
      <c r="J104" s="295"/>
      <c r="K104" s="295"/>
      <c r="L104" s="295"/>
      <c r="M104" s="353"/>
      <c r="N104" s="353"/>
      <c r="O104" s="353"/>
      <c r="P104" s="353"/>
      <c r="Q104" s="375"/>
      <c r="R104" s="376"/>
      <c r="S104" s="353"/>
      <c r="T104" s="353"/>
      <c r="U104" s="353"/>
      <c r="V104" s="618"/>
      <c r="W104" s="617"/>
      <c r="X104" s="619"/>
      <c r="Z104" s="5"/>
    </row>
    <row r="105" spans="1:26" ht="12.75">
      <c r="A105" s="321" t="s">
        <v>7</v>
      </c>
      <c r="B105" s="378"/>
      <c r="C105" s="295"/>
      <c r="D105" s="295"/>
      <c r="E105" s="295"/>
      <c r="F105" s="295"/>
      <c r="G105" s="317"/>
      <c r="H105" s="317"/>
      <c r="I105" s="295"/>
      <c r="J105" s="295"/>
      <c r="K105" s="295"/>
      <c r="L105" s="295"/>
      <c r="M105" s="353"/>
      <c r="N105" s="353"/>
      <c r="O105" s="353"/>
      <c r="P105" s="353"/>
      <c r="Q105" s="375"/>
      <c r="R105" s="376"/>
      <c r="S105" s="353"/>
      <c r="T105" s="353"/>
      <c r="U105" s="353"/>
      <c r="V105" s="618"/>
      <c r="W105" s="617"/>
      <c r="X105" s="619"/>
      <c r="Z105" s="5"/>
    </row>
    <row r="106" spans="1:26" ht="12.75">
      <c r="A106" s="321" t="s">
        <v>82</v>
      </c>
      <c r="B106" s="378"/>
      <c r="C106" s="295"/>
      <c r="D106" s="295"/>
      <c r="E106" s="295"/>
      <c r="F106" s="295"/>
      <c r="G106" s="317"/>
      <c r="H106" s="317"/>
      <c r="I106" s="295"/>
      <c r="J106" s="295"/>
      <c r="K106" s="295"/>
      <c r="L106" s="295"/>
      <c r="M106" s="353"/>
      <c r="N106" s="353"/>
      <c r="O106" s="353"/>
      <c r="P106" s="353"/>
      <c r="Q106" s="375"/>
      <c r="R106" s="376"/>
      <c r="S106" s="353"/>
      <c r="T106" s="353"/>
      <c r="U106" s="353"/>
      <c r="V106" s="618"/>
      <c r="W106" s="617"/>
      <c r="X106" s="619"/>
      <c r="Z106" s="5"/>
    </row>
    <row r="107" spans="1:26" ht="12.75">
      <c r="A107" s="321" t="s">
        <v>83</v>
      </c>
      <c r="B107" s="378"/>
      <c r="C107" s="295"/>
      <c r="D107" s="295"/>
      <c r="E107" s="295"/>
      <c r="F107" s="295"/>
      <c r="G107" s="317"/>
      <c r="H107" s="317"/>
      <c r="I107" s="295"/>
      <c r="J107" s="295"/>
      <c r="K107" s="295"/>
      <c r="L107" s="295"/>
      <c r="M107" s="353"/>
      <c r="N107" s="353"/>
      <c r="O107" s="353"/>
      <c r="P107" s="353"/>
      <c r="Q107" s="375"/>
      <c r="R107" s="376"/>
      <c r="S107" s="353"/>
      <c r="T107" s="353"/>
      <c r="U107" s="353"/>
      <c r="V107" s="618"/>
      <c r="W107" s="617"/>
      <c r="X107" s="619"/>
      <c r="Z107" s="5"/>
    </row>
    <row r="108" spans="1:26" ht="12.75">
      <c r="A108" s="321" t="s">
        <v>33</v>
      </c>
      <c r="B108" s="378"/>
      <c r="C108" s="295"/>
      <c r="D108" s="295"/>
      <c r="E108" s="295"/>
      <c r="F108" s="295"/>
      <c r="G108" s="295"/>
      <c r="H108" s="295"/>
      <c r="I108" s="295"/>
      <c r="J108" s="295"/>
      <c r="K108" s="295"/>
      <c r="L108" s="295"/>
      <c r="M108" s="353"/>
      <c r="N108" s="353"/>
      <c r="O108" s="353"/>
      <c r="P108" s="353"/>
      <c r="Q108" s="353"/>
      <c r="R108" s="353"/>
      <c r="S108" s="353"/>
      <c r="T108" s="353"/>
      <c r="U108" s="353"/>
      <c r="V108" s="618"/>
      <c r="W108" s="617"/>
      <c r="X108" s="619"/>
      <c r="Z108" s="5"/>
    </row>
    <row r="109" spans="1:26" ht="12.75">
      <c r="A109" s="321" t="s">
        <v>91</v>
      </c>
      <c r="B109" s="378"/>
      <c r="C109" s="295"/>
      <c r="D109" s="295"/>
      <c r="E109" s="295"/>
      <c r="F109" s="295"/>
      <c r="G109" s="295"/>
      <c r="H109" s="295"/>
      <c r="I109" s="295"/>
      <c r="J109" s="295"/>
      <c r="K109" s="295"/>
      <c r="L109" s="295"/>
      <c r="M109" s="353"/>
      <c r="N109" s="353"/>
      <c r="O109" s="353"/>
      <c r="P109" s="353"/>
      <c r="Q109" s="353"/>
      <c r="R109" s="353"/>
      <c r="S109" s="353"/>
      <c r="T109" s="353"/>
      <c r="U109" s="353"/>
      <c r="V109" s="618"/>
      <c r="W109" s="617"/>
      <c r="X109" s="619"/>
      <c r="Z109" s="5"/>
    </row>
    <row r="110" spans="1:26" ht="12.75">
      <c r="A110" s="321" t="s">
        <v>184</v>
      </c>
      <c r="B110" s="378"/>
      <c r="C110" s="295"/>
      <c r="D110" s="295"/>
      <c r="E110" s="295"/>
      <c r="F110" s="295"/>
      <c r="G110" s="295"/>
      <c r="H110" s="295"/>
      <c r="I110" s="295"/>
      <c r="J110" s="295"/>
      <c r="K110" s="295"/>
      <c r="L110" s="295"/>
      <c r="M110" s="353"/>
      <c r="N110" s="353"/>
      <c r="O110" s="353"/>
      <c r="P110" s="353"/>
      <c r="Q110" s="353"/>
      <c r="R110" s="353"/>
      <c r="S110" s="353"/>
      <c r="T110" s="353"/>
      <c r="U110" s="353"/>
      <c r="V110" s="618"/>
      <c r="W110" s="617"/>
      <c r="X110" s="619"/>
      <c r="Z110" s="5"/>
    </row>
    <row r="111" spans="1:26" ht="12.75">
      <c r="A111" s="321" t="s">
        <v>268</v>
      </c>
      <c r="B111" s="378"/>
      <c r="C111" s="295"/>
      <c r="D111" s="295"/>
      <c r="E111" s="295"/>
      <c r="F111" s="295"/>
      <c r="G111" s="295"/>
      <c r="H111" s="295"/>
      <c r="I111" s="295"/>
      <c r="J111" s="295"/>
      <c r="K111" s="295"/>
      <c r="L111" s="295"/>
      <c r="M111" s="353"/>
      <c r="N111" s="353"/>
      <c r="O111" s="353"/>
      <c r="P111" s="353"/>
      <c r="Q111" s="353"/>
      <c r="R111" s="353"/>
      <c r="S111" s="353"/>
      <c r="T111" s="353"/>
      <c r="U111" s="353"/>
      <c r="V111" s="618"/>
      <c r="W111" s="617"/>
      <c r="X111" s="619"/>
      <c r="Z111" s="5"/>
    </row>
    <row r="112" spans="1:26" ht="12.75">
      <c r="A112" s="321" t="s">
        <v>47</v>
      </c>
      <c r="B112" s="295">
        <v>8.4</v>
      </c>
      <c r="C112" s="295">
        <v>11.4</v>
      </c>
      <c r="D112" s="295">
        <v>12.9</v>
      </c>
      <c r="E112" s="377">
        <v>12.9</v>
      </c>
      <c r="F112" s="377">
        <v>10.3</v>
      </c>
      <c r="G112" s="295">
        <v>10.3</v>
      </c>
      <c r="H112" s="295"/>
      <c r="I112" s="295"/>
      <c r="J112" s="295"/>
      <c r="K112" s="295"/>
      <c r="L112" s="379"/>
      <c r="M112" s="353"/>
      <c r="N112" s="353"/>
      <c r="O112" s="353"/>
      <c r="P112" s="353"/>
      <c r="Q112" s="353"/>
      <c r="R112" s="353"/>
      <c r="S112" s="353"/>
      <c r="T112" s="353"/>
      <c r="U112" s="353"/>
      <c r="V112" s="618">
        <f>SUM(B112:U112)/6</f>
        <v>11.033333333333333</v>
      </c>
      <c r="W112" s="617">
        <v>3575000</v>
      </c>
      <c r="X112" s="619">
        <f>V112/W112*2.5*100000</f>
        <v>0.7715617715617716</v>
      </c>
      <c r="Z112" s="5"/>
    </row>
    <row r="113" spans="1:26" ht="12.75">
      <c r="A113" s="321" t="s">
        <v>8</v>
      </c>
      <c r="B113" s="378"/>
      <c r="C113" s="295"/>
      <c r="D113" s="295"/>
      <c r="E113" s="295"/>
      <c r="F113" s="295"/>
      <c r="G113" s="295"/>
      <c r="H113" s="295"/>
      <c r="I113" s="295"/>
      <c r="J113" s="295"/>
      <c r="K113" s="295"/>
      <c r="L113" s="295"/>
      <c r="M113" s="353"/>
      <c r="N113" s="353"/>
      <c r="O113" s="353"/>
      <c r="P113" s="353"/>
      <c r="Q113" s="353"/>
      <c r="R113" s="353"/>
      <c r="S113" s="353"/>
      <c r="T113" s="353"/>
      <c r="U113" s="353"/>
      <c r="V113" s="618"/>
      <c r="W113" s="617"/>
      <c r="X113" s="619"/>
      <c r="Z113" s="5"/>
    </row>
    <row r="114" spans="1:26" ht="12.75">
      <c r="A114" s="321" t="s">
        <v>77</v>
      </c>
      <c r="B114" s="378"/>
      <c r="C114" s="295"/>
      <c r="D114" s="295"/>
      <c r="E114" s="295"/>
      <c r="F114" s="295"/>
      <c r="G114" s="295"/>
      <c r="H114" s="295"/>
      <c r="I114" s="295"/>
      <c r="J114" s="295"/>
      <c r="K114" s="295"/>
      <c r="L114" s="295"/>
      <c r="M114" s="353"/>
      <c r="N114" s="353"/>
      <c r="O114" s="353"/>
      <c r="P114" s="353"/>
      <c r="Q114" s="353"/>
      <c r="R114" s="353"/>
      <c r="S114" s="353"/>
      <c r="T114" s="353"/>
      <c r="U114" s="353"/>
      <c r="V114" s="618"/>
      <c r="W114" s="617"/>
      <c r="X114" s="619"/>
      <c r="Z114" s="5"/>
    </row>
    <row r="115" spans="1:26" ht="12.75">
      <c r="A115" s="321" t="s">
        <v>116</v>
      </c>
      <c r="B115" s="378"/>
      <c r="C115" s="295"/>
      <c r="D115" s="295"/>
      <c r="E115" s="295"/>
      <c r="F115" s="295"/>
      <c r="G115" s="295"/>
      <c r="H115" s="295"/>
      <c r="I115" s="295"/>
      <c r="J115" s="295"/>
      <c r="K115" s="295"/>
      <c r="L115" s="295"/>
      <c r="M115" s="353"/>
      <c r="N115" s="353"/>
      <c r="O115" s="353"/>
      <c r="P115" s="353"/>
      <c r="Q115" s="353"/>
      <c r="R115" s="353"/>
      <c r="S115" s="353"/>
      <c r="T115" s="353"/>
      <c r="U115" s="353"/>
      <c r="V115" s="618"/>
      <c r="W115" s="617"/>
      <c r="X115" s="619"/>
      <c r="Z115" s="5"/>
    </row>
    <row r="116" spans="1:26" ht="12.75">
      <c r="A116" s="321" t="s">
        <v>106</v>
      </c>
      <c r="B116" s="378"/>
      <c r="C116" s="295"/>
      <c r="D116" s="295"/>
      <c r="E116" s="295"/>
      <c r="F116" s="295"/>
      <c r="G116" s="295"/>
      <c r="H116" s="295"/>
      <c r="I116" s="295"/>
      <c r="J116" s="295"/>
      <c r="K116" s="295"/>
      <c r="L116" s="295"/>
      <c r="M116" s="353"/>
      <c r="N116" s="353"/>
      <c r="O116" s="353"/>
      <c r="P116" s="353"/>
      <c r="Q116" s="353"/>
      <c r="R116" s="353"/>
      <c r="S116" s="353"/>
      <c r="T116" s="353"/>
      <c r="U116" s="353"/>
      <c r="V116" s="618"/>
      <c r="W116" s="617"/>
      <c r="X116" s="619"/>
      <c r="Z116" s="5"/>
    </row>
    <row r="117" spans="1:26" ht="12.75">
      <c r="A117" s="321" t="s">
        <v>9</v>
      </c>
      <c r="B117" s="378"/>
      <c r="C117" s="295"/>
      <c r="D117" s="295"/>
      <c r="E117" s="295"/>
      <c r="F117" s="295"/>
      <c r="G117" s="295"/>
      <c r="H117" s="295"/>
      <c r="I117" s="295"/>
      <c r="J117" s="295"/>
      <c r="K117" s="295"/>
      <c r="L117" s="295"/>
      <c r="M117" s="353"/>
      <c r="N117" s="353"/>
      <c r="O117" s="353"/>
      <c r="P117" s="353"/>
      <c r="Q117" s="353"/>
      <c r="R117" s="353"/>
      <c r="S117" s="353"/>
      <c r="T117" s="353"/>
      <c r="U117" s="353"/>
      <c r="V117" s="618"/>
      <c r="W117" s="617"/>
      <c r="X117" s="619"/>
      <c r="Z117" s="5"/>
    </row>
    <row r="118" spans="1:26" ht="12.75">
      <c r="A118" s="321" t="s">
        <v>56</v>
      </c>
      <c r="B118" s="378"/>
      <c r="C118" s="295"/>
      <c r="D118" s="295"/>
      <c r="E118" s="295"/>
      <c r="F118" s="295"/>
      <c r="G118" s="295"/>
      <c r="H118" s="295"/>
      <c r="I118" s="295"/>
      <c r="J118" s="295"/>
      <c r="K118" s="295"/>
      <c r="L118" s="295"/>
      <c r="M118" s="353"/>
      <c r="N118" s="353"/>
      <c r="O118" s="353"/>
      <c r="P118" s="353"/>
      <c r="Q118" s="353"/>
      <c r="R118" s="353"/>
      <c r="S118" s="353"/>
      <c r="T118" s="353"/>
      <c r="U118" s="353"/>
      <c r="V118" s="618"/>
      <c r="W118" s="617"/>
      <c r="X118" s="619"/>
      <c r="Z118" s="5"/>
    </row>
    <row r="119" spans="1:26" ht="12.75">
      <c r="A119" s="321" t="s">
        <v>149</v>
      </c>
      <c r="B119" s="378"/>
      <c r="C119" s="295"/>
      <c r="D119" s="295"/>
      <c r="E119" s="295"/>
      <c r="F119" s="295"/>
      <c r="G119" s="295"/>
      <c r="H119" s="295"/>
      <c r="I119" s="295"/>
      <c r="J119" s="295"/>
      <c r="K119" s="295"/>
      <c r="L119" s="295"/>
      <c r="M119" s="353"/>
      <c r="N119" s="353"/>
      <c r="O119" s="353"/>
      <c r="P119" s="353"/>
      <c r="Q119" s="353"/>
      <c r="R119" s="353"/>
      <c r="S119" s="353"/>
      <c r="T119" s="353"/>
      <c r="U119" s="353"/>
      <c r="V119" s="618"/>
      <c r="W119" s="617"/>
      <c r="X119" s="619"/>
      <c r="Z119" s="5"/>
    </row>
    <row r="120" spans="1:26" ht="12.75">
      <c r="A120" s="321" t="s">
        <v>26</v>
      </c>
      <c r="B120" s="378"/>
      <c r="C120" s="295"/>
      <c r="D120" s="295"/>
      <c r="E120" s="295"/>
      <c r="F120" s="295"/>
      <c r="G120" s="295"/>
      <c r="H120" s="295"/>
      <c r="I120" s="295"/>
      <c r="J120" s="295"/>
      <c r="K120" s="295"/>
      <c r="L120" s="295"/>
      <c r="M120" s="353"/>
      <c r="N120" s="353"/>
      <c r="O120" s="353"/>
      <c r="P120" s="353"/>
      <c r="Q120" s="353"/>
      <c r="R120" s="353"/>
      <c r="S120" s="353"/>
      <c r="T120" s="353"/>
      <c r="U120" s="353"/>
      <c r="V120" s="618"/>
      <c r="W120" s="617"/>
      <c r="X120" s="619"/>
      <c r="Z120" s="5"/>
    </row>
    <row r="121" spans="1:26" ht="12.75">
      <c r="A121" s="321" t="s">
        <v>169</v>
      </c>
      <c r="B121" s="378"/>
      <c r="C121" s="295"/>
      <c r="D121" s="295"/>
      <c r="E121" s="295"/>
      <c r="F121" s="295"/>
      <c r="G121" s="295"/>
      <c r="H121" s="295"/>
      <c r="I121" s="295"/>
      <c r="J121" s="295"/>
      <c r="K121" s="295"/>
      <c r="L121" s="295"/>
      <c r="M121" s="353"/>
      <c r="N121" s="353"/>
      <c r="O121" s="353"/>
      <c r="P121" s="353"/>
      <c r="Q121" s="353"/>
      <c r="R121" s="353"/>
      <c r="S121" s="353"/>
      <c r="T121" s="353"/>
      <c r="U121" s="353"/>
      <c r="V121" s="618"/>
      <c r="W121" s="617"/>
      <c r="X121" s="619"/>
      <c r="Z121" s="5"/>
    </row>
    <row r="122" spans="1:26" ht="12.75">
      <c r="A122" s="321" t="s">
        <v>153</v>
      </c>
      <c r="B122" s="378"/>
      <c r="C122" s="295"/>
      <c r="D122" s="295"/>
      <c r="E122" s="295"/>
      <c r="F122" s="295"/>
      <c r="G122" s="295"/>
      <c r="H122" s="295"/>
      <c r="I122" s="295"/>
      <c r="J122" s="295"/>
      <c r="K122" s="295"/>
      <c r="L122" s="295"/>
      <c r="M122" s="353"/>
      <c r="N122" s="353"/>
      <c r="O122" s="353"/>
      <c r="P122" s="353"/>
      <c r="Q122" s="353"/>
      <c r="R122" s="353"/>
      <c r="S122" s="353"/>
      <c r="T122" s="353"/>
      <c r="U122" s="353"/>
      <c r="V122" s="618"/>
      <c r="W122" s="617"/>
      <c r="X122" s="619"/>
      <c r="Z122" s="5"/>
    </row>
    <row r="123" spans="1:26" ht="12.75">
      <c r="A123" s="321" t="s">
        <v>21</v>
      </c>
      <c r="B123" s="378"/>
      <c r="C123" s="295"/>
      <c r="D123" s="295"/>
      <c r="E123" s="295"/>
      <c r="F123" s="295"/>
      <c r="G123" s="295"/>
      <c r="H123" s="295"/>
      <c r="I123" s="295"/>
      <c r="J123" s="295"/>
      <c r="K123" s="295"/>
      <c r="L123" s="295"/>
      <c r="M123" s="353"/>
      <c r="N123" s="353"/>
      <c r="O123" s="353"/>
      <c r="P123" s="353"/>
      <c r="Q123" s="353"/>
      <c r="R123" s="353"/>
      <c r="S123" s="353"/>
      <c r="T123" s="353"/>
      <c r="U123" s="353"/>
      <c r="V123" s="618"/>
      <c r="W123" s="617"/>
      <c r="X123" s="619"/>
      <c r="Z123" s="10"/>
    </row>
    <row r="124" spans="1:26" ht="12.75">
      <c r="A124" s="321" t="s">
        <v>52</v>
      </c>
      <c r="B124" s="295">
        <v>7.8</v>
      </c>
      <c r="C124" s="295">
        <v>8.3</v>
      </c>
      <c r="D124" s="295">
        <v>9.4</v>
      </c>
      <c r="E124" s="377">
        <v>9.4</v>
      </c>
      <c r="F124" s="377">
        <v>10.8</v>
      </c>
      <c r="G124" s="295">
        <v>10.8</v>
      </c>
      <c r="H124" s="295"/>
      <c r="I124" s="295"/>
      <c r="J124" s="295"/>
      <c r="K124" s="295"/>
      <c r="L124" s="295"/>
      <c r="M124" s="353"/>
      <c r="N124" s="353"/>
      <c r="O124" s="353"/>
      <c r="P124" s="353"/>
      <c r="Q124" s="353"/>
      <c r="R124" s="353"/>
      <c r="S124" s="353"/>
      <c r="T124" s="353"/>
      <c r="U124" s="353"/>
      <c r="V124" s="618">
        <f>SUM(B124:U124)/6</f>
        <v>9.416666666666666</v>
      </c>
      <c r="W124" s="617">
        <v>108701000</v>
      </c>
      <c r="X124" s="619">
        <f>V124/W124*2.5*100000</f>
        <v>0.02165726779575778</v>
      </c>
      <c r="Z124" s="5"/>
    </row>
    <row r="125" spans="1:26" ht="12.75">
      <c r="A125" s="321" t="s">
        <v>88</v>
      </c>
      <c r="B125" s="378"/>
      <c r="C125" s="295"/>
      <c r="D125" s="295"/>
      <c r="E125" s="295"/>
      <c r="F125" s="295"/>
      <c r="G125" s="295"/>
      <c r="H125" s="295"/>
      <c r="I125" s="295"/>
      <c r="J125" s="295"/>
      <c r="K125" s="295"/>
      <c r="L125" s="295"/>
      <c r="M125" s="353"/>
      <c r="N125" s="353"/>
      <c r="O125" s="353"/>
      <c r="P125" s="353"/>
      <c r="Q125" s="353"/>
      <c r="R125" s="353"/>
      <c r="S125" s="353"/>
      <c r="T125" s="353"/>
      <c r="U125" s="353"/>
      <c r="V125" s="618"/>
      <c r="W125" s="617"/>
      <c r="X125" s="619"/>
      <c r="Z125" s="5"/>
    </row>
    <row r="126" spans="1:26" ht="12.75">
      <c r="A126" s="321" t="s">
        <v>136</v>
      </c>
      <c r="B126" s="378"/>
      <c r="C126" s="295"/>
      <c r="D126" s="295"/>
      <c r="E126" s="295"/>
      <c r="F126" s="295"/>
      <c r="G126" s="295"/>
      <c r="H126" s="295"/>
      <c r="I126" s="295"/>
      <c r="J126" s="295"/>
      <c r="K126" s="295"/>
      <c r="L126" s="295"/>
      <c r="M126" s="353"/>
      <c r="N126" s="353"/>
      <c r="O126" s="353"/>
      <c r="P126" s="353"/>
      <c r="Q126" s="353"/>
      <c r="R126" s="353"/>
      <c r="S126" s="353"/>
      <c r="T126" s="353"/>
      <c r="U126" s="353"/>
      <c r="V126" s="618"/>
      <c r="W126" s="617"/>
      <c r="X126" s="619"/>
      <c r="Z126" s="5"/>
    </row>
    <row r="127" spans="1:26" ht="12.75">
      <c r="A127" s="321" t="s">
        <v>239</v>
      </c>
      <c r="B127" s="378"/>
      <c r="C127" s="295"/>
      <c r="D127" s="295"/>
      <c r="E127" s="295"/>
      <c r="F127" s="295"/>
      <c r="G127" s="295"/>
      <c r="H127" s="295"/>
      <c r="I127" s="295"/>
      <c r="J127" s="295"/>
      <c r="K127" s="295"/>
      <c r="L127" s="295"/>
      <c r="M127" s="353"/>
      <c r="N127" s="353"/>
      <c r="O127" s="353"/>
      <c r="P127" s="353"/>
      <c r="Q127" s="353"/>
      <c r="R127" s="353"/>
      <c r="S127" s="353"/>
      <c r="T127" s="353"/>
      <c r="U127" s="353"/>
      <c r="V127" s="618"/>
      <c r="W127" s="617"/>
      <c r="X127" s="619"/>
      <c r="Z127" s="5"/>
    </row>
    <row r="128" spans="1:26" ht="12.75">
      <c r="A128" s="321" t="s">
        <v>60</v>
      </c>
      <c r="B128" s="378"/>
      <c r="C128" s="295"/>
      <c r="D128" s="295"/>
      <c r="E128" s="295"/>
      <c r="F128" s="295"/>
      <c r="G128" s="295"/>
      <c r="H128" s="295"/>
      <c r="I128" s="295"/>
      <c r="J128" s="295"/>
      <c r="K128" s="295"/>
      <c r="L128" s="295"/>
      <c r="M128" s="353"/>
      <c r="N128" s="353"/>
      <c r="O128" s="353"/>
      <c r="P128" s="353"/>
      <c r="Q128" s="353"/>
      <c r="R128" s="353"/>
      <c r="S128" s="353"/>
      <c r="T128" s="353"/>
      <c r="U128" s="353"/>
      <c r="V128" s="618"/>
      <c r="W128" s="617"/>
      <c r="X128" s="619"/>
      <c r="Z128" s="5"/>
    </row>
    <row r="129" spans="1:26" ht="12.75">
      <c r="A129" s="321" t="s">
        <v>110</v>
      </c>
      <c r="B129" s="378"/>
      <c r="C129" s="295"/>
      <c r="D129" s="295"/>
      <c r="E129" s="295"/>
      <c r="F129" s="295"/>
      <c r="G129" s="295"/>
      <c r="H129" s="295"/>
      <c r="I129" s="295"/>
      <c r="J129" s="295"/>
      <c r="K129" s="295"/>
      <c r="L129" s="295"/>
      <c r="M129" s="353"/>
      <c r="N129" s="353"/>
      <c r="O129" s="353"/>
      <c r="P129" s="353"/>
      <c r="Q129" s="353"/>
      <c r="R129" s="353"/>
      <c r="S129" s="353"/>
      <c r="T129" s="353"/>
      <c r="U129" s="353"/>
      <c r="V129" s="618"/>
      <c r="W129" s="617"/>
      <c r="X129" s="619"/>
      <c r="Z129" s="5"/>
    </row>
    <row r="130" spans="1:26" ht="12.75">
      <c r="A130" s="321" t="s">
        <v>270</v>
      </c>
      <c r="B130" s="378"/>
      <c r="C130" s="295"/>
      <c r="D130" s="295"/>
      <c r="E130" s="295"/>
      <c r="F130" s="295"/>
      <c r="G130" s="295"/>
      <c r="H130" s="295"/>
      <c r="I130" s="295"/>
      <c r="J130" s="295"/>
      <c r="K130" s="295"/>
      <c r="L130" s="295"/>
      <c r="M130" s="353"/>
      <c r="N130" s="353"/>
      <c r="O130" s="353"/>
      <c r="P130" s="353"/>
      <c r="Q130" s="353"/>
      <c r="R130" s="353"/>
      <c r="S130" s="353"/>
      <c r="T130" s="353"/>
      <c r="U130" s="353"/>
      <c r="V130" s="618"/>
      <c r="W130" s="617"/>
      <c r="X130" s="619"/>
      <c r="Z130" s="5"/>
    </row>
    <row r="131" spans="1:26" ht="12.75">
      <c r="A131" s="321" t="s">
        <v>84</v>
      </c>
      <c r="B131" s="378"/>
      <c r="C131" s="295"/>
      <c r="D131" s="295"/>
      <c r="E131" s="295"/>
      <c r="F131" s="295"/>
      <c r="G131" s="295"/>
      <c r="H131" s="295"/>
      <c r="I131" s="295"/>
      <c r="J131" s="295"/>
      <c r="K131" s="295"/>
      <c r="L131" s="295"/>
      <c r="M131" s="353"/>
      <c r="N131" s="353"/>
      <c r="O131" s="353"/>
      <c r="P131" s="353"/>
      <c r="Q131" s="353"/>
      <c r="R131" s="353"/>
      <c r="S131" s="353"/>
      <c r="T131" s="353"/>
      <c r="U131" s="353"/>
      <c r="V131" s="618"/>
      <c r="W131" s="617"/>
      <c r="X131" s="619"/>
      <c r="Z131" s="5"/>
    </row>
    <row r="132" spans="1:26" ht="12.75">
      <c r="A132" s="321" t="s">
        <v>48</v>
      </c>
      <c r="B132" s="378"/>
      <c r="C132" s="295"/>
      <c r="D132" s="295"/>
      <c r="E132" s="295"/>
      <c r="F132" s="295"/>
      <c r="G132" s="295"/>
      <c r="H132" s="295"/>
      <c r="I132" s="295"/>
      <c r="J132" s="295"/>
      <c r="K132" s="295"/>
      <c r="L132" s="295"/>
      <c r="M132" s="353"/>
      <c r="N132" s="353"/>
      <c r="O132" s="353"/>
      <c r="P132" s="353"/>
      <c r="Q132" s="353"/>
      <c r="R132" s="353"/>
      <c r="S132" s="353"/>
      <c r="T132" s="353"/>
      <c r="U132" s="353"/>
      <c r="V132" s="618"/>
      <c r="W132" s="617"/>
      <c r="X132" s="619"/>
      <c r="Z132" s="5"/>
    </row>
    <row r="133" spans="1:26" ht="12.75">
      <c r="A133" s="321" t="s">
        <v>55</v>
      </c>
      <c r="B133" s="295">
        <v>3.7</v>
      </c>
      <c r="C133" s="295">
        <v>3.8</v>
      </c>
      <c r="D133" s="295">
        <v>3.7</v>
      </c>
      <c r="E133" s="377">
        <v>3.7</v>
      </c>
      <c r="F133" s="377">
        <v>3.8</v>
      </c>
      <c r="G133" s="295">
        <v>3.8</v>
      </c>
      <c r="H133" s="295"/>
      <c r="I133" s="295"/>
      <c r="J133" s="295"/>
      <c r="K133" s="295"/>
      <c r="L133" s="295"/>
      <c r="M133" s="353"/>
      <c r="N133" s="353"/>
      <c r="O133" s="353"/>
      <c r="P133" s="353"/>
      <c r="Q133" s="353"/>
      <c r="R133" s="353"/>
      <c r="S133" s="353"/>
      <c r="T133" s="353"/>
      <c r="U133" s="353"/>
      <c r="V133" s="618">
        <f>SUM(B133:U133)/6</f>
        <v>3.75</v>
      </c>
      <c r="W133" s="617">
        <v>16571000</v>
      </c>
      <c r="X133" s="619">
        <f>V133/W133*2.5*100000</f>
        <v>0.05657473900187074</v>
      </c>
      <c r="Z133" s="5"/>
    </row>
    <row r="134" spans="1:26" ht="12.75">
      <c r="A134" s="321" t="s">
        <v>159</v>
      </c>
      <c r="B134" s="378"/>
      <c r="C134" s="295"/>
      <c r="D134" s="295"/>
      <c r="E134" s="295"/>
      <c r="F134" s="295"/>
      <c r="G134" s="295"/>
      <c r="H134" s="295"/>
      <c r="I134" s="295"/>
      <c r="J134" s="295"/>
      <c r="K134" s="295"/>
      <c r="L134" s="295"/>
      <c r="M134" s="353"/>
      <c r="N134" s="353"/>
      <c r="O134" s="353"/>
      <c r="P134" s="353"/>
      <c r="Q134" s="353"/>
      <c r="R134" s="353"/>
      <c r="S134" s="353"/>
      <c r="T134" s="353"/>
      <c r="U134" s="353"/>
      <c r="V134" s="618"/>
      <c r="W134" s="617"/>
      <c r="X134" s="619"/>
      <c r="Z134" s="5"/>
    </row>
    <row r="135" spans="1:26" ht="12.75">
      <c r="A135" s="321" t="s">
        <v>162</v>
      </c>
      <c r="B135" s="378"/>
      <c r="C135" s="295"/>
      <c r="D135" s="295"/>
      <c r="E135" s="295"/>
      <c r="F135" s="295"/>
      <c r="G135" s="295"/>
      <c r="H135" s="295"/>
      <c r="I135" s="295"/>
      <c r="J135" s="295"/>
      <c r="K135" s="295"/>
      <c r="L135" s="295"/>
      <c r="M135" s="353"/>
      <c r="N135" s="353"/>
      <c r="O135" s="353"/>
      <c r="P135" s="353"/>
      <c r="Q135" s="353"/>
      <c r="R135" s="353"/>
      <c r="S135" s="353"/>
      <c r="T135" s="353"/>
      <c r="U135" s="353"/>
      <c r="V135" s="618"/>
      <c r="W135" s="617"/>
      <c r="X135" s="619"/>
      <c r="Z135" s="5"/>
    </row>
    <row r="136" spans="1:26" ht="12.75">
      <c r="A136" s="321" t="s">
        <v>10</v>
      </c>
      <c r="B136" s="378"/>
      <c r="C136" s="295"/>
      <c r="D136" s="295"/>
      <c r="E136" s="295"/>
      <c r="F136" s="295"/>
      <c r="G136" s="295"/>
      <c r="H136" s="295"/>
      <c r="I136" s="295"/>
      <c r="J136" s="295"/>
      <c r="K136" s="295"/>
      <c r="L136" s="295"/>
      <c r="M136" s="353"/>
      <c r="N136" s="353"/>
      <c r="O136" s="353"/>
      <c r="P136" s="353"/>
      <c r="Q136" s="353"/>
      <c r="R136" s="353"/>
      <c r="S136" s="353"/>
      <c r="T136" s="353"/>
      <c r="U136" s="353"/>
      <c r="V136" s="618"/>
      <c r="W136" s="617"/>
      <c r="X136" s="619"/>
      <c r="Z136" s="5"/>
    </row>
    <row r="137" spans="1:26" ht="12.75">
      <c r="A137" s="321" t="s">
        <v>94</v>
      </c>
      <c r="B137" s="378"/>
      <c r="C137" s="295"/>
      <c r="D137" s="295"/>
      <c r="E137" s="295"/>
      <c r="F137" s="295"/>
      <c r="G137" s="295"/>
      <c r="H137" s="295"/>
      <c r="I137" s="295"/>
      <c r="J137" s="295"/>
      <c r="K137" s="295"/>
      <c r="L137" s="295"/>
      <c r="M137" s="353"/>
      <c r="N137" s="353"/>
      <c r="O137" s="353"/>
      <c r="P137" s="353"/>
      <c r="Q137" s="353"/>
      <c r="R137" s="353"/>
      <c r="S137" s="353"/>
      <c r="T137" s="353"/>
      <c r="U137" s="353"/>
      <c r="V137" s="618"/>
      <c r="W137" s="617"/>
      <c r="X137" s="619"/>
      <c r="Z137" s="5"/>
    </row>
    <row r="138" spans="1:26" ht="12.75">
      <c r="A138" s="321" t="s">
        <v>150</v>
      </c>
      <c r="B138" s="378"/>
      <c r="C138" s="295"/>
      <c r="D138" s="295"/>
      <c r="E138" s="295"/>
      <c r="F138" s="295"/>
      <c r="G138" s="295"/>
      <c r="H138" s="295"/>
      <c r="I138" s="295"/>
      <c r="J138" s="295"/>
      <c r="K138" s="295"/>
      <c r="L138" s="295"/>
      <c r="M138" s="353"/>
      <c r="N138" s="353"/>
      <c r="O138" s="353"/>
      <c r="P138" s="353"/>
      <c r="Q138" s="353"/>
      <c r="R138" s="353"/>
      <c r="S138" s="353"/>
      <c r="T138" s="353"/>
      <c r="U138" s="353"/>
      <c r="V138" s="618"/>
      <c r="W138" s="617"/>
      <c r="X138" s="619"/>
      <c r="Z138" s="5"/>
    </row>
    <row r="139" spans="1:26" ht="12.75">
      <c r="A139" s="321" t="s">
        <v>146</v>
      </c>
      <c r="B139" s="378"/>
      <c r="C139" s="295"/>
      <c r="D139" s="295"/>
      <c r="E139" s="295"/>
      <c r="F139" s="295"/>
      <c r="G139" s="295"/>
      <c r="H139" s="295"/>
      <c r="I139" s="295"/>
      <c r="J139" s="295"/>
      <c r="K139" s="295"/>
      <c r="L139" s="295"/>
      <c r="M139" s="353"/>
      <c r="N139" s="353"/>
      <c r="O139" s="353"/>
      <c r="P139" s="353"/>
      <c r="Q139" s="353"/>
      <c r="R139" s="353"/>
      <c r="S139" s="353"/>
      <c r="T139" s="353"/>
      <c r="U139" s="353"/>
      <c r="V139" s="618"/>
      <c r="W139" s="617"/>
      <c r="X139" s="619"/>
      <c r="Z139" s="5"/>
    </row>
    <row r="140" spans="1:26" ht="12.75">
      <c r="A140" s="321" t="s">
        <v>140</v>
      </c>
      <c r="B140" s="378"/>
      <c r="C140" s="295"/>
      <c r="D140" s="295"/>
      <c r="E140" s="295"/>
      <c r="F140" s="295"/>
      <c r="G140" s="295"/>
      <c r="H140" s="295"/>
      <c r="I140" s="295"/>
      <c r="J140" s="295"/>
      <c r="K140" s="295"/>
      <c r="L140" s="295"/>
      <c r="M140" s="353"/>
      <c r="N140" s="353"/>
      <c r="O140" s="353"/>
      <c r="P140" s="353"/>
      <c r="Q140" s="353"/>
      <c r="R140" s="353"/>
      <c r="S140" s="353"/>
      <c r="T140" s="353"/>
      <c r="U140" s="353"/>
      <c r="V140" s="618"/>
      <c r="W140" s="617"/>
      <c r="X140" s="619"/>
      <c r="Z140" s="5"/>
    </row>
    <row r="141" spans="1:26" ht="12.75">
      <c r="A141" s="321" t="s">
        <v>20</v>
      </c>
      <c r="B141" s="378"/>
      <c r="C141" s="295"/>
      <c r="D141" s="295"/>
      <c r="E141" s="295"/>
      <c r="F141" s="295"/>
      <c r="G141" s="295"/>
      <c r="H141" s="295"/>
      <c r="I141" s="295"/>
      <c r="J141" s="295"/>
      <c r="K141" s="295"/>
      <c r="L141" s="295"/>
      <c r="M141" s="353"/>
      <c r="N141" s="353"/>
      <c r="O141" s="353"/>
      <c r="P141" s="353"/>
      <c r="Q141" s="353"/>
      <c r="R141" s="353"/>
      <c r="S141" s="353"/>
      <c r="T141" s="353"/>
      <c r="U141" s="353"/>
      <c r="V141" s="618"/>
      <c r="W141" s="617"/>
      <c r="X141" s="619"/>
      <c r="Z141" s="5"/>
    </row>
    <row r="142" spans="1:26" ht="12.75">
      <c r="A142" s="321" t="s">
        <v>197</v>
      </c>
      <c r="B142" s="378"/>
      <c r="C142" s="295"/>
      <c r="D142" s="295"/>
      <c r="E142" s="295"/>
      <c r="F142" s="295"/>
      <c r="G142" s="295"/>
      <c r="H142" s="295"/>
      <c r="I142" s="295"/>
      <c r="J142" s="295"/>
      <c r="K142" s="295"/>
      <c r="L142" s="295"/>
      <c r="M142" s="353"/>
      <c r="N142" s="353"/>
      <c r="O142" s="353"/>
      <c r="P142" s="353"/>
      <c r="Q142" s="353"/>
      <c r="R142" s="353"/>
      <c r="S142" s="353"/>
      <c r="T142" s="353"/>
      <c r="U142" s="353"/>
      <c r="V142" s="618"/>
      <c r="W142" s="617"/>
      <c r="X142" s="619"/>
      <c r="Z142" s="5"/>
    </row>
    <row r="143" spans="1:26" ht="12.75">
      <c r="A143" s="321" t="s">
        <v>11</v>
      </c>
      <c r="B143" s="378"/>
      <c r="C143" s="295"/>
      <c r="D143" s="295"/>
      <c r="E143" s="295"/>
      <c r="F143" s="295"/>
      <c r="G143" s="295"/>
      <c r="H143" s="295"/>
      <c r="I143" s="295"/>
      <c r="J143" s="295"/>
      <c r="K143" s="295"/>
      <c r="L143" s="295"/>
      <c r="M143" s="353"/>
      <c r="N143" s="353"/>
      <c r="O143" s="353"/>
      <c r="P143" s="353"/>
      <c r="Q143" s="353"/>
      <c r="R143" s="353"/>
      <c r="S143" s="353"/>
      <c r="T143" s="353"/>
      <c r="U143" s="353"/>
      <c r="V143" s="618"/>
      <c r="W143" s="617"/>
      <c r="X143" s="619"/>
      <c r="Z143" s="5"/>
    </row>
    <row r="144" spans="1:26" ht="12.75">
      <c r="A144" s="321" t="s">
        <v>120</v>
      </c>
      <c r="B144" s="295">
        <v>0.4</v>
      </c>
      <c r="C144" s="295">
        <v>2</v>
      </c>
      <c r="D144" s="295">
        <v>2</v>
      </c>
      <c r="E144" s="377">
        <v>2</v>
      </c>
      <c r="F144" s="377">
        <v>1.9</v>
      </c>
      <c r="G144" s="295">
        <v>1.9</v>
      </c>
      <c r="H144" s="295"/>
      <c r="I144" s="295"/>
      <c r="J144" s="295"/>
      <c r="K144" s="295"/>
      <c r="L144" s="295"/>
      <c r="M144" s="353"/>
      <c r="N144" s="353"/>
      <c r="O144" s="353"/>
      <c r="P144" s="353"/>
      <c r="Q144" s="353"/>
      <c r="R144" s="353"/>
      <c r="S144" s="353"/>
      <c r="T144" s="353"/>
      <c r="U144" s="353"/>
      <c r="V144" s="618">
        <f>SUM(B144:U144)/6</f>
        <v>1.7000000000000002</v>
      </c>
      <c r="W144" s="617">
        <v>175495000</v>
      </c>
      <c r="X144" s="619">
        <f>V144/W144*2.5*100000</f>
        <v>0.002421721416564575</v>
      </c>
      <c r="Z144" s="5"/>
    </row>
    <row r="145" spans="1:26" ht="12.75">
      <c r="A145" s="321" t="s">
        <v>36</v>
      </c>
      <c r="B145" s="378"/>
      <c r="C145" s="295"/>
      <c r="D145" s="295"/>
      <c r="E145" s="295"/>
      <c r="F145" s="295"/>
      <c r="G145" s="295"/>
      <c r="H145" s="295"/>
      <c r="I145" s="295"/>
      <c r="J145" s="295"/>
      <c r="K145" s="295"/>
      <c r="L145" s="295"/>
      <c r="M145" s="353"/>
      <c r="N145" s="353"/>
      <c r="O145" s="353"/>
      <c r="P145" s="353"/>
      <c r="Q145" s="353"/>
      <c r="R145" s="353"/>
      <c r="S145" s="353"/>
      <c r="T145" s="353"/>
      <c r="U145" s="353"/>
      <c r="V145" s="618"/>
      <c r="W145" s="617"/>
      <c r="X145" s="619"/>
      <c r="Z145" s="5"/>
    </row>
    <row r="146" spans="1:26" ht="12.75">
      <c r="A146" s="321" t="s">
        <v>132</v>
      </c>
      <c r="B146" s="378"/>
      <c r="C146" s="295"/>
      <c r="D146" s="295"/>
      <c r="E146" s="295"/>
      <c r="F146" s="295"/>
      <c r="G146" s="295"/>
      <c r="H146" s="295"/>
      <c r="I146" s="295"/>
      <c r="J146" s="295"/>
      <c r="K146" s="295"/>
      <c r="L146" s="295"/>
      <c r="M146" s="353"/>
      <c r="N146" s="353"/>
      <c r="O146" s="353"/>
      <c r="P146" s="353"/>
      <c r="Q146" s="353"/>
      <c r="R146" s="353"/>
      <c r="S146" s="353"/>
      <c r="T146" s="353"/>
      <c r="U146" s="353"/>
      <c r="V146" s="618"/>
      <c r="W146" s="617"/>
      <c r="X146" s="619"/>
      <c r="Z146" s="5"/>
    </row>
    <row r="147" spans="1:26" ht="12.75">
      <c r="A147" s="321" t="s">
        <v>67</v>
      </c>
      <c r="B147" s="378"/>
      <c r="C147" s="295"/>
      <c r="D147" s="295"/>
      <c r="E147" s="295"/>
      <c r="F147" s="295"/>
      <c r="G147" s="295"/>
      <c r="H147" s="295"/>
      <c r="I147" s="295"/>
      <c r="J147" s="295"/>
      <c r="K147" s="295"/>
      <c r="L147" s="295"/>
      <c r="M147" s="353"/>
      <c r="N147" s="353"/>
      <c r="O147" s="353"/>
      <c r="P147" s="353"/>
      <c r="Q147" s="353"/>
      <c r="R147" s="353"/>
      <c r="S147" s="353"/>
      <c r="T147" s="353"/>
      <c r="U147" s="353"/>
      <c r="V147" s="618"/>
      <c r="W147" s="617"/>
      <c r="X147" s="619"/>
      <c r="Z147" s="5"/>
    </row>
    <row r="148" spans="1:26" ht="12.75">
      <c r="A148" s="321" t="s">
        <v>41</v>
      </c>
      <c r="B148" s="378"/>
      <c r="C148" s="295"/>
      <c r="D148" s="295"/>
      <c r="E148" s="295"/>
      <c r="F148" s="295"/>
      <c r="G148" s="295"/>
      <c r="H148" s="295"/>
      <c r="I148" s="295"/>
      <c r="J148" s="295"/>
      <c r="K148" s="295"/>
      <c r="L148" s="295"/>
      <c r="M148" s="353"/>
      <c r="N148" s="353"/>
      <c r="O148" s="353"/>
      <c r="P148" s="353"/>
      <c r="Q148" s="353"/>
      <c r="R148" s="353"/>
      <c r="S148" s="353"/>
      <c r="T148" s="353"/>
      <c r="U148" s="353"/>
      <c r="V148" s="618"/>
      <c r="W148" s="617"/>
      <c r="X148" s="619"/>
      <c r="Z148" s="5"/>
    </row>
    <row r="149" spans="1:26" ht="12.75">
      <c r="A149" s="321" t="s">
        <v>58</v>
      </c>
      <c r="B149" s="378"/>
      <c r="C149" s="295"/>
      <c r="D149" s="295"/>
      <c r="E149" s="295"/>
      <c r="F149" s="295"/>
      <c r="G149" s="295"/>
      <c r="H149" s="295"/>
      <c r="I149" s="295"/>
      <c r="J149" s="295"/>
      <c r="K149" s="295"/>
      <c r="L149" s="295"/>
      <c r="M149" s="353"/>
      <c r="N149" s="353"/>
      <c r="O149" s="353"/>
      <c r="P149" s="353"/>
      <c r="Q149" s="353"/>
      <c r="R149" s="353"/>
      <c r="S149" s="353"/>
      <c r="T149" s="353"/>
      <c r="U149" s="353"/>
      <c r="V149" s="618"/>
      <c r="W149" s="617"/>
      <c r="X149" s="619"/>
      <c r="Z149" s="5"/>
    </row>
    <row r="150" spans="1:26" ht="12.75">
      <c r="A150" s="321" t="s">
        <v>69</v>
      </c>
      <c r="B150" s="378"/>
      <c r="C150" s="295"/>
      <c r="D150" s="295"/>
      <c r="E150" s="295"/>
      <c r="F150" s="295"/>
      <c r="G150" s="295"/>
      <c r="H150" s="295"/>
      <c r="I150" s="295"/>
      <c r="J150" s="295"/>
      <c r="K150" s="295"/>
      <c r="L150" s="295"/>
      <c r="M150" s="353"/>
      <c r="N150" s="353"/>
      <c r="O150" s="353"/>
      <c r="P150" s="353"/>
      <c r="Q150" s="353"/>
      <c r="R150" s="353"/>
      <c r="S150" s="353"/>
      <c r="T150" s="353"/>
      <c r="U150" s="353"/>
      <c r="V150" s="618"/>
      <c r="W150" s="617"/>
      <c r="X150" s="619"/>
      <c r="Z150" s="5"/>
    </row>
    <row r="151" spans="1:26" ht="12.75">
      <c r="A151" s="321" t="s">
        <v>32</v>
      </c>
      <c r="B151" s="378"/>
      <c r="C151" s="295"/>
      <c r="D151" s="295"/>
      <c r="E151" s="295"/>
      <c r="F151" s="295"/>
      <c r="G151" s="295"/>
      <c r="H151" s="295"/>
      <c r="I151" s="295"/>
      <c r="J151" s="295"/>
      <c r="K151" s="295"/>
      <c r="L151" s="295"/>
      <c r="M151" s="353"/>
      <c r="N151" s="353"/>
      <c r="O151" s="353"/>
      <c r="P151" s="353"/>
      <c r="Q151" s="353"/>
      <c r="R151" s="353"/>
      <c r="S151" s="353"/>
      <c r="T151" s="353"/>
      <c r="U151" s="353"/>
      <c r="V151" s="618"/>
      <c r="W151" s="617"/>
      <c r="X151" s="619"/>
      <c r="Z151" s="5"/>
    </row>
    <row r="152" spans="1:26" ht="12.75">
      <c r="A152" s="321" t="s">
        <v>12</v>
      </c>
      <c r="B152" s="378"/>
      <c r="C152" s="295"/>
      <c r="D152" s="295"/>
      <c r="E152" s="295"/>
      <c r="F152" s="295"/>
      <c r="G152" s="295"/>
      <c r="H152" s="295"/>
      <c r="I152" s="295"/>
      <c r="J152" s="295"/>
      <c r="K152" s="295"/>
      <c r="L152" s="295"/>
      <c r="M152" s="353"/>
      <c r="N152" s="353"/>
      <c r="O152" s="353"/>
      <c r="P152" s="353"/>
      <c r="Q152" s="353"/>
      <c r="R152" s="353"/>
      <c r="S152" s="353"/>
      <c r="T152" s="353"/>
      <c r="U152" s="353"/>
      <c r="V152" s="618"/>
      <c r="W152" s="617"/>
      <c r="X152" s="619"/>
      <c r="Z152" s="5"/>
    </row>
    <row r="153" spans="1:26" ht="12.75">
      <c r="A153" s="321" t="s">
        <v>172</v>
      </c>
      <c r="B153" s="378"/>
      <c r="C153" s="295"/>
      <c r="D153" s="295"/>
      <c r="E153" s="295"/>
      <c r="F153" s="295"/>
      <c r="G153" s="295"/>
      <c r="H153" s="295"/>
      <c r="I153" s="295"/>
      <c r="J153" s="295"/>
      <c r="K153" s="295"/>
      <c r="L153" s="295"/>
      <c r="M153" s="353"/>
      <c r="N153" s="353"/>
      <c r="O153" s="353"/>
      <c r="P153" s="353"/>
      <c r="Q153" s="353"/>
      <c r="R153" s="353"/>
      <c r="S153" s="353"/>
      <c r="T153" s="353"/>
      <c r="U153" s="353"/>
      <c r="V153" s="618"/>
      <c r="W153" s="617"/>
      <c r="X153" s="619"/>
      <c r="Z153" s="5"/>
    </row>
    <row r="154" spans="1:26" ht="12.75">
      <c r="A154" s="321" t="s">
        <v>54</v>
      </c>
      <c r="B154" s="295">
        <v>5.2</v>
      </c>
      <c r="C154" s="295">
        <v>5</v>
      </c>
      <c r="D154" s="295">
        <v>5.1</v>
      </c>
      <c r="E154" s="377">
        <v>5.1</v>
      </c>
      <c r="F154" s="377">
        <v>5.1</v>
      </c>
      <c r="G154" s="295">
        <v>5.1</v>
      </c>
      <c r="H154" s="295"/>
      <c r="I154" s="295"/>
      <c r="J154" s="295"/>
      <c r="K154" s="295"/>
      <c r="L154" s="295"/>
      <c r="M154" s="353"/>
      <c r="N154" s="353"/>
      <c r="O154" s="353"/>
      <c r="P154" s="353"/>
      <c r="Q154" s="353"/>
      <c r="R154" s="353"/>
      <c r="S154" s="353"/>
      <c r="T154" s="353"/>
      <c r="U154" s="353"/>
      <c r="V154" s="618">
        <f>SUM(B154:U154)/6</f>
        <v>5.1000000000000005</v>
      </c>
      <c r="W154" s="617">
        <v>22106000</v>
      </c>
      <c r="X154" s="619">
        <f>V154/W154*2.5*100000</f>
        <v>0.057676648873608974</v>
      </c>
      <c r="Z154" s="5"/>
    </row>
    <row r="155" spans="1:26" ht="12.75">
      <c r="A155" s="321" t="s">
        <v>74</v>
      </c>
      <c r="B155" s="295">
        <v>122.5</v>
      </c>
      <c r="C155" s="295">
        <v>125.4</v>
      </c>
      <c r="D155" s="295">
        <v>130</v>
      </c>
      <c r="E155" s="377">
        <v>130</v>
      </c>
      <c r="F155" s="377">
        <v>137.3</v>
      </c>
      <c r="G155" s="295">
        <v>137.3</v>
      </c>
      <c r="H155" s="295"/>
      <c r="I155" s="295"/>
      <c r="J155" s="295"/>
      <c r="K155" s="295"/>
      <c r="L155" s="295"/>
      <c r="M155" s="353"/>
      <c r="N155" s="353"/>
      <c r="O155" s="353"/>
      <c r="P155" s="353"/>
      <c r="Q155" s="353"/>
      <c r="R155" s="353"/>
      <c r="S155" s="353"/>
      <c r="T155" s="353"/>
      <c r="U155" s="353"/>
      <c r="V155" s="618">
        <f>SUM(B155:U155)/6</f>
        <v>130.41666666666666</v>
      </c>
      <c r="W155" s="617">
        <v>141378000</v>
      </c>
      <c r="X155" s="619">
        <f>V155/W155*2.5*100000</f>
        <v>0.2306169748239943</v>
      </c>
      <c r="Z155" s="5"/>
    </row>
    <row r="156" spans="1:26" ht="12.75">
      <c r="A156" s="321" t="s">
        <v>129</v>
      </c>
      <c r="B156" s="378"/>
      <c r="C156" s="295"/>
      <c r="D156" s="295"/>
      <c r="E156" s="295"/>
      <c r="F156" s="295"/>
      <c r="G156" s="295"/>
      <c r="H156" s="295"/>
      <c r="I156" s="295"/>
      <c r="J156" s="295"/>
      <c r="K156" s="295"/>
      <c r="L156" s="295"/>
      <c r="M156" s="353"/>
      <c r="N156" s="353"/>
      <c r="O156" s="353"/>
      <c r="P156" s="353"/>
      <c r="Q156" s="353"/>
      <c r="R156" s="353"/>
      <c r="S156" s="353"/>
      <c r="T156" s="353"/>
      <c r="U156" s="353"/>
      <c r="V156" s="618"/>
      <c r="W156" s="617"/>
      <c r="X156" s="619"/>
      <c r="Z156" s="10"/>
    </row>
    <row r="157" spans="1:26" ht="12.75">
      <c r="A157" s="321" t="s">
        <v>174</v>
      </c>
      <c r="B157" s="378"/>
      <c r="C157" s="295"/>
      <c r="D157" s="295"/>
      <c r="E157" s="295"/>
      <c r="F157" s="295"/>
      <c r="G157" s="295"/>
      <c r="H157" s="295"/>
      <c r="I157" s="295"/>
      <c r="J157" s="295"/>
      <c r="K157" s="295"/>
      <c r="L157" s="295"/>
      <c r="M157" s="353"/>
      <c r="N157" s="353"/>
      <c r="O157" s="353"/>
      <c r="P157" s="353"/>
      <c r="Q157" s="353"/>
      <c r="R157" s="353"/>
      <c r="S157" s="353"/>
      <c r="T157" s="353"/>
      <c r="U157" s="353"/>
      <c r="V157" s="618"/>
      <c r="W157" s="617"/>
      <c r="X157" s="619"/>
      <c r="Z157" s="5"/>
    </row>
    <row r="158" spans="1:26" ht="12.75">
      <c r="A158" s="321" t="s">
        <v>175</v>
      </c>
      <c r="B158" s="378"/>
      <c r="C158" s="295"/>
      <c r="D158" s="295"/>
      <c r="E158" s="295"/>
      <c r="F158" s="295"/>
      <c r="G158" s="295"/>
      <c r="H158" s="295"/>
      <c r="I158" s="295"/>
      <c r="J158" s="295"/>
      <c r="K158" s="295"/>
      <c r="L158" s="295"/>
      <c r="M158" s="353"/>
      <c r="N158" s="353"/>
      <c r="O158" s="353"/>
      <c r="P158" s="353"/>
      <c r="Q158" s="353"/>
      <c r="R158" s="353"/>
      <c r="S158" s="353"/>
      <c r="T158" s="353"/>
      <c r="U158" s="353"/>
      <c r="V158" s="618"/>
      <c r="W158" s="617"/>
      <c r="X158" s="619"/>
      <c r="Z158" s="10"/>
    </row>
    <row r="159" spans="1:26" ht="12.75">
      <c r="A159" s="321" t="s">
        <v>198</v>
      </c>
      <c r="B159" s="378"/>
      <c r="C159" s="295"/>
      <c r="D159" s="295"/>
      <c r="E159" s="295"/>
      <c r="F159" s="295"/>
      <c r="G159" s="295"/>
      <c r="H159" s="295"/>
      <c r="I159" s="295"/>
      <c r="J159" s="295"/>
      <c r="K159" s="295"/>
      <c r="L159" s="295"/>
      <c r="M159" s="353"/>
      <c r="N159" s="353"/>
      <c r="O159" s="353"/>
      <c r="P159" s="353"/>
      <c r="Q159" s="353"/>
      <c r="R159" s="353"/>
      <c r="S159" s="353"/>
      <c r="T159" s="353"/>
      <c r="U159" s="353"/>
      <c r="V159" s="618"/>
      <c r="W159" s="617"/>
      <c r="X159" s="619"/>
      <c r="Z159" s="5"/>
    </row>
    <row r="160" spans="1:26" ht="12.75">
      <c r="A160" s="321" t="s">
        <v>179</v>
      </c>
      <c r="B160" s="378"/>
      <c r="C160" s="295"/>
      <c r="D160" s="295"/>
      <c r="E160" s="295"/>
      <c r="F160" s="295"/>
      <c r="G160" s="295"/>
      <c r="H160" s="295"/>
      <c r="I160" s="295"/>
      <c r="J160" s="295"/>
      <c r="K160" s="295"/>
      <c r="L160" s="295"/>
      <c r="M160" s="353"/>
      <c r="N160" s="353"/>
      <c r="O160" s="353"/>
      <c r="P160" s="353"/>
      <c r="Q160" s="353"/>
      <c r="R160" s="353"/>
      <c r="S160" s="353"/>
      <c r="T160" s="353"/>
      <c r="U160" s="353"/>
      <c r="V160" s="618"/>
      <c r="W160" s="617"/>
      <c r="X160" s="619"/>
      <c r="Z160" s="5"/>
    </row>
    <row r="161" spans="1:26" ht="12.75">
      <c r="A161" s="321" t="s">
        <v>92</v>
      </c>
      <c r="B161" s="378"/>
      <c r="C161" s="295"/>
      <c r="D161" s="295"/>
      <c r="E161" s="295"/>
      <c r="F161" s="295"/>
      <c r="G161" s="295"/>
      <c r="H161" s="295"/>
      <c r="I161" s="295"/>
      <c r="J161" s="295"/>
      <c r="K161" s="295"/>
      <c r="L161" s="295"/>
      <c r="M161" s="353"/>
      <c r="N161" s="353"/>
      <c r="O161" s="353"/>
      <c r="P161" s="353"/>
      <c r="Q161" s="353"/>
      <c r="R161" s="353"/>
      <c r="S161" s="353"/>
      <c r="T161" s="353"/>
      <c r="U161" s="353"/>
      <c r="V161" s="618"/>
      <c r="W161" s="617"/>
      <c r="X161" s="619"/>
      <c r="Z161" s="5"/>
    </row>
    <row r="162" spans="1:26" ht="12.75">
      <c r="A162" s="321" t="s">
        <v>99</v>
      </c>
      <c r="B162" s="378"/>
      <c r="C162" s="295"/>
      <c r="D162" s="295"/>
      <c r="E162" s="295"/>
      <c r="F162" s="295"/>
      <c r="G162" s="295"/>
      <c r="H162" s="295"/>
      <c r="I162" s="295"/>
      <c r="J162" s="295"/>
      <c r="K162" s="295"/>
      <c r="L162" s="295"/>
      <c r="M162" s="353"/>
      <c r="N162" s="353"/>
      <c r="O162" s="353"/>
      <c r="P162" s="353"/>
      <c r="Q162" s="353"/>
      <c r="R162" s="353"/>
      <c r="S162" s="353"/>
      <c r="T162" s="353"/>
      <c r="U162" s="353"/>
      <c r="V162" s="618"/>
      <c r="W162" s="617"/>
      <c r="X162" s="619"/>
      <c r="Z162" s="5"/>
    </row>
    <row r="163" spans="1:26" ht="12.75">
      <c r="A163" s="321" t="s">
        <v>137</v>
      </c>
      <c r="B163" s="378"/>
      <c r="C163" s="295"/>
      <c r="D163" s="295"/>
      <c r="E163" s="295"/>
      <c r="F163" s="295"/>
      <c r="G163" s="295"/>
      <c r="H163" s="295"/>
      <c r="I163" s="295"/>
      <c r="J163" s="295"/>
      <c r="K163" s="295"/>
      <c r="L163" s="295"/>
      <c r="M163" s="353"/>
      <c r="N163" s="353"/>
      <c r="O163" s="353"/>
      <c r="P163" s="353"/>
      <c r="Q163" s="353"/>
      <c r="R163" s="353"/>
      <c r="S163" s="353"/>
      <c r="T163" s="353"/>
      <c r="U163" s="353"/>
      <c r="V163" s="618"/>
      <c r="W163" s="617"/>
      <c r="X163" s="619"/>
      <c r="Z163" s="5"/>
    </row>
    <row r="164" spans="1:26" ht="12.75">
      <c r="A164" s="321" t="s">
        <v>238</v>
      </c>
      <c r="B164" s="378"/>
      <c r="C164" s="295"/>
      <c r="D164" s="295"/>
      <c r="E164" s="295"/>
      <c r="F164" s="295"/>
      <c r="G164" s="295"/>
      <c r="H164" s="295"/>
      <c r="I164" s="295"/>
      <c r="J164" s="295"/>
      <c r="K164" s="295"/>
      <c r="L164" s="295"/>
      <c r="M164" s="353"/>
      <c r="N164" s="353"/>
      <c r="O164" s="353"/>
      <c r="P164" s="353"/>
      <c r="Q164" s="353"/>
      <c r="R164" s="353"/>
      <c r="S164" s="353"/>
      <c r="T164" s="353"/>
      <c r="U164" s="353"/>
      <c r="V164" s="618"/>
      <c r="W164" s="617"/>
      <c r="X164" s="619"/>
      <c r="Z164" s="5"/>
    </row>
    <row r="165" spans="1:26" ht="12.75">
      <c r="A165" s="321" t="s">
        <v>166</v>
      </c>
      <c r="B165" s="378"/>
      <c r="C165" s="295"/>
      <c r="D165" s="295"/>
      <c r="E165" s="295"/>
      <c r="F165" s="295"/>
      <c r="G165" s="295"/>
      <c r="H165" s="295"/>
      <c r="I165" s="295"/>
      <c r="J165" s="295"/>
      <c r="K165" s="295"/>
      <c r="L165" s="295"/>
      <c r="M165" s="353"/>
      <c r="N165" s="353"/>
      <c r="O165" s="353"/>
      <c r="P165" s="353"/>
      <c r="Q165" s="353"/>
      <c r="R165" s="353"/>
      <c r="S165" s="353"/>
      <c r="T165" s="353"/>
      <c r="U165" s="353"/>
      <c r="V165" s="618"/>
      <c r="W165" s="617"/>
      <c r="X165" s="619"/>
      <c r="Z165" s="5"/>
    </row>
    <row r="166" spans="1:26" ht="12.75">
      <c r="A166" s="321" t="s">
        <v>155</v>
      </c>
      <c r="B166" s="378"/>
      <c r="C166" s="295"/>
      <c r="D166" s="295"/>
      <c r="E166" s="295"/>
      <c r="F166" s="295"/>
      <c r="G166" s="295"/>
      <c r="H166" s="295"/>
      <c r="I166" s="295"/>
      <c r="J166" s="295"/>
      <c r="K166" s="295"/>
      <c r="L166" s="295"/>
      <c r="M166" s="353"/>
      <c r="N166" s="353"/>
      <c r="O166" s="353"/>
      <c r="P166" s="353"/>
      <c r="Q166" s="353"/>
      <c r="R166" s="353"/>
      <c r="S166" s="353"/>
      <c r="T166" s="353"/>
      <c r="U166" s="353"/>
      <c r="V166" s="618"/>
      <c r="W166" s="617"/>
      <c r="X166" s="619"/>
      <c r="Z166" s="128"/>
    </row>
    <row r="167" spans="1:26" ht="12.75">
      <c r="A167" s="321" t="s">
        <v>13</v>
      </c>
      <c r="B167" s="378"/>
      <c r="C167" s="295"/>
      <c r="D167" s="295"/>
      <c r="E167" s="295"/>
      <c r="F167" s="295"/>
      <c r="G167" s="295"/>
      <c r="H167" s="295"/>
      <c r="I167" s="295"/>
      <c r="J167" s="295"/>
      <c r="K167" s="295"/>
      <c r="L167" s="295"/>
      <c r="M167" s="353"/>
      <c r="N167" s="353"/>
      <c r="O167" s="353"/>
      <c r="P167" s="353"/>
      <c r="Q167" s="353"/>
      <c r="R167" s="353"/>
      <c r="S167" s="353"/>
      <c r="T167" s="353"/>
      <c r="U167" s="353"/>
      <c r="V167" s="618"/>
      <c r="W167" s="617"/>
      <c r="X167" s="619"/>
      <c r="Z167" s="5"/>
    </row>
    <row r="168" spans="1:26" ht="12.75">
      <c r="A168" s="321" t="s">
        <v>27</v>
      </c>
      <c r="B168" s="295">
        <v>13.1</v>
      </c>
      <c r="C168" s="295">
        <v>16.2</v>
      </c>
      <c r="D168" s="295">
        <v>18</v>
      </c>
      <c r="E168" s="377">
        <v>18</v>
      </c>
      <c r="F168" s="377">
        <v>16.3</v>
      </c>
      <c r="G168" s="295">
        <v>16.3</v>
      </c>
      <c r="H168" s="295"/>
      <c r="I168" s="295"/>
      <c r="J168" s="295"/>
      <c r="K168" s="295"/>
      <c r="L168" s="295"/>
      <c r="M168" s="353"/>
      <c r="N168" s="353"/>
      <c r="O168" s="353"/>
      <c r="P168" s="353"/>
      <c r="Q168" s="353"/>
      <c r="R168" s="353"/>
      <c r="S168" s="353"/>
      <c r="T168" s="353"/>
      <c r="U168" s="353"/>
      <c r="V168" s="618">
        <f>SUM(B168:U168)/6</f>
        <v>16.316666666666666</v>
      </c>
      <c r="W168" s="617">
        <v>5448000</v>
      </c>
      <c r="X168" s="619">
        <f>V168/W168*2.5*100000</f>
        <v>0.7487457170827215</v>
      </c>
      <c r="Z168" s="10"/>
    </row>
    <row r="169" spans="1:26" ht="12.75">
      <c r="A169" s="321" t="s">
        <v>62</v>
      </c>
      <c r="B169" s="295">
        <v>4.5</v>
      </c>
      <c r="C169" s="295">
        <v>5</v>
      </c>
      <c r="D169" s="295">
        <v>5.3</v>
      </c>
      <c r="E169" s="377">
        <v>5.3</v>
      </c>
      <c r="F169" s="377">
        <v>5.6</v>
      </c>
      <c r="G169" s="295">
        <v>5.6</v>
      </c>
      <c r="H169" s="295"/>
      <c r="I169" s="295"/>
      <c r="J169" s="295"/>
      <c r="K169" s="295"/>
      <c r="L169" s="295"/>
      <c r="M169" s="353"/>
      <c r="N169" s="353"/>
      <c r="O169" s="353"/>
      <c r="P169" s="353"/>
      <c r="Q169" s="353"/>
      <c r="R169" s="353"/>
      <c r="S169" s="353"/>
      <c r="T169" s="353"/>
      <c r="U169" s="353"/>
      <c r="V169" s="618">
        <f>SUM(B169:U169)/6</f>
        <v>5.216666666666668</v>
      </c>
      <c r="W169" s="617">
        <v>2009000</v>
      </c>
      <c r="X169" s="619">
        <f>V169/W169*2.5*100000</f>
        <v>0.6491621038659368</v>
      </c>
      <c r="Z169" s="10"/>
    </row>
    <row r="170" spans="1:26" ht="12.75">
      <c r="A170" s="321" t="s">
        <v>111</v>
      </c>
      <c r="B170" s="378"/>
      <c r="C170" s="295"/>
      <c r="D170" s="295"/>
      <c r="E170" s="295"/>
      <c r="F170" s="295"/>
      <c r="G170" s="295"/>
      <c r="H170" s="295"/>
      <c r="I170" s="295"/>
      <c r="J170" s="295"/>
      <c r="K170" s="295"/>
      <c r="L170" s="295"/>
      <c r="M170" s="353"/>
      <c r="N170" s="353"/>
      <c r="O170" s="353"/>
      <c r="P170" s="353"/>
      <c r="Q170" s="353"/>
      <c r="R170" s="353"/>
      <c r="S170" s="353"/>
      <c r="T170" s="353"/>
      <c r="U170" s="353"/>
      <c r="V170" s="618"/>
      <c r="W170" s="617"/>
      <c r="X170" s="619"/>
      <c r="Z170" s="10"/>
    </row>
    <row r="171" spans="1:26" ht="12.75">
      <c r="A171" s="321" t="s">
        <v>188</v>
      </c>
      <c r="B171" s="378"/>
      <c r="C171" s="295"/>
      <c r="D171" s="295"/>
      <c r="E171" s="295"/>
      <c r="F171" s="295"/>
      <c r="G171" s="295"/>
      <c r="H171" s="295"/>
      <c r="I171" s="295"/>
      <c r="J171" s="295"/>
      <c r="K171" s="295"/>
      <c r="L171" s="295"/>
      <c r="M171" s="353"/>
      <c r="N171" s="353"/>
      <c r="O171" s="353"/>
      <c r="P171" s="353"/>
      <c r="Q171" s="353"/>
      <c r="R171" s="353"/>
      <c r="S171" s="353"/>
      <c r="T171" s="353"/>
      <c r="U171" s="353"/>
      <c r="V171" s="618"/>
      <c r="W171" s="617"/>
      <c r="X171" s="619"/>
      <c r="Z171" s="10"/>
    </row>
    <row r="172" spans="1:26" ht="12.75">
      <c r="A172" s="321" t="s">
        <v>112</v>
      </c>
      <c r="B172" s="295">
        <v>13</v>
      </c>
      <c r="C172" s="295">
        <v>10.7</v>
      </c>
      <c r="D172" s="295">
        <v>12</v>
      </c>
      <c r="E172" s="377">
        <v>12</v>
      </c>
      <c r="F172" s="377">
        <v>12.2</v>
      </c>
      <c r="G172" s="295">
        <v>12.2</v>
      </c>
      <c r="H172" s="295"/>
      <c r="I172" s="295"/>
      <c r="J172" s="295"/>
      <c r="K172" s="295"/>
      <c r="L172" s="295"/>
      <c r="M172" s="353"/>
      <c r="N172" s="353"/>
      <c r="O172" s="353"/>
      <c r="P172" s="353"/>
      <c r="Q172" s="353"/>
      <c r="R172" s="353"/>
      <c r="S172" s="353"/>
      <c r="T172" s="353"/>
      <c r="U172" s="353"/>
      <c r="V172" s="618">
        <f>SUM(B172:U172)/6</f>
        <v>12.016666666666667</v>
      </c>
      <c r="W172" s="617">
        <v>48367000</v>
      </c>
      <c r="X172" s="619">
        <f>V172/W172*2.5*100000</f>
        <v>0.06211190825700719</v>
      </c>
      <c r="Z172" s="10"/>
    </row>
    <row r="173" spans="1:26" ht="12.75">
      <c r="A173" s="321" t="s">
        <v>95</v>
      </c>
      <c r="B173" s="295">
        <v>103.5</v>
      </c>
      <c r="C173" s="295">
        <v>106.5</v>
      </c>
      <c r="D173" s="295">
        <v>113.1</v>
      </c>
      <c r="E173" s="377">
        <v>113.1</v>
      </c>
      <c r="F173" s="377">
        <v>139.3</v>
      </c>
      <c r="G173" s="295">
        <v>139.3</v>
      </c>
      <c r="H173" s="295"/>
      <c r="I173" s="295"/>
      <c r="J173" s="295"/>
      <c r="K173" s="295"/>
      <c r="L173" s="295"/>
      <c r="M173" s="353"/>
      <c r="N173" s="353"/>
      <c r="O173" s="353"/>
      <c r="P173" s="353"/>
      <c r="Q173" s="353"/>
      <c r="R173" s="353"/>
      <c r="S173" s="353"/>
      <c r="T173" s="353"/>
      <c r="U173" s="353"/>
      <c r="V173" s="618">
        <f>SUM(B173:U173)/6</f>
        <v>119.13333333333333</v>
      </c>
      <c r="W173" s="617">
        <v>48250000</v>
      </c>
      <c r="X173" s="619">
        <f>V173/W173*2.5*100000</f>
        <v>0.6172711571675302</v>
      </c>
      <c r="Z173" s="10"/>
    </row>
    <row r="174" spans="1:26" ht="12.75">
      <c r="A174" s="321" t="s">
        <v>37</v>
      </c>
      <c r="B174" s="295">
        <v>58.9</v>
      </c>
      <c r="C174" s="295">
        <v>60.5</v>
      </c>
      <c r="D174" s="295">
        <v>60.3</v>
      </c>
      <c r="E174" s="377">
        <v>60.3</v>
      </c>
      <c r="F174" s="377">
        <v>54.7</v>
      </c>
      <c r="G174" s="295">
        <v>54.7</v>
      </c>
      <c r="H174" s="377"/>
      <c r="I174" s="295"/>
      <c r="J174" s="295"/>
      <c r="K174" s="295"/>
      <c r="L174" s="295"/>
      <c r="M174" s="353"/>
      <c r="N174" s="353"/>
      <c r="O174" s="353"/>
      <c r="P174" s="353"/>
      <c r="Q174" s="353"/>
      <c r="R174" s="353"/>
      <c r="S174" s="353"/>
      <c r="T174" s="353"/>
      <c r="U174" s="353"/>
      <c r="V174" s="618">
        <f>SUM(B174:U174)/6</f>
        <v>58.23333333333333</v>
      </c>
      <c r="W174" s="617">
        <v>45212000</v>
      </c>
      <c r="X174" s="619">
        <f>V174/W174*2.5*100000</f>
        <v>0.3220015335161756</v>
      </c>
      <c r="Z174" s="10"/>
    </row>
    <row r="175" spans="1:26" ht="12.75">
      <c r="A175" s="321" t="s">
        <v>65</v>
      </c>
      <c r="B175" s="378"/>
      <c r="C175" s="295"/>
      <c r="D175" s="295"/>
      <c r="E175" s="295"/>
      <c r="F175" s="295"/>
      <c r="G175" s="295"/>
      <c r="H175" s="295"/>
      <c r="I175" s="295"/>
      <c r="J175" s="295"/>
      <c r="K175" s="295"/>
      <c r="L175" s="295"/>
      <c r="M175" s="353"/>
      <c r="N175" s="353"/>
      <c r="O175" s="353"/>
      <c r="P175" s="353"/>
      <c r="Q175" s="353"/>
      <c r="R175" s="353"/>
      <c r="S175" s="353"/>
      <c r="T175" s="353"/>
      <c r="U175" s="353"/>
      <c r="V175" s="618"/>
      <c r="W175" s="617"/>
      <c r="X175" s="619"/>
      <c r="Z175" s="10"/>
    </row>
    <row r="176" spans="1:26" ht="12.75">
      <c r="A176" s="321" t="s">
        <v>124</v>
      </c>
      <c r="B176" s="378"/>
      <c r="C176" s="295"/>
      <c r="D176" s="295"/>
      <c r="E176" s="295"/>
      <c r="F176" s="295"/>
      <c r="G176" s="295"/>
      <c r="H176" s="295"/>
      <c r="I176" s="295"/>
      <c r="J176" s="295"/>
      <c r="K176" s="295"/>
      <c r="L176" s="295"/>
      <c r="M176" s="353"/>
      <c r="N176" s="353"/>
      <c r="O176" s="353"/>
      <c r="P176" s="353"/>
      <c r="Q176" s="353"/>
      <c r="R176" s="353"/>
      <c r="S176" s="353"/>
      <c r="T176" s="353"/>
      <c r="U176" s="353"/>
      <c r="V176" s="618"/>
      <c r="W176" s="617"/>
      <c r="X176" s="619"/>
      <c r="Z176" s="10"/>
    </row>
    <row r="177" spans="1:26" ht="12.75">
      <c r="A177" s="321" t="s">
        <v>49</v>
      </c>
      <c r="B177" s="378"/>
      <c r="C177" s="295"/>
      <c r="D177" s="295"/>
      <c r="E177" s="295"/>
      <c r="F177" s="295"/>
      <c r="G177" s="295"/>
      <c r="H177" s="295"/>
      <c r="I177" s="295"/>
      <c r="J177" s="295"/>
      <c r="K177" s="295"/>
      <c r="L177" s="295"/>
      <c r="M177" s="353"/>
      <c r="N177" s="353"/>
      <c r="O177" s="353"/>
      <c r="P177" s="353"/>
      <c r="Q177" s="353"/>
      <c r="R177" s="353"/>
      <c r="S177" s="353"/>
      <c r="T177" s="353"/>
      <c r="U177" s="353"/>
      <c r="V177" s="618"/>
      <c r="W177" s="617"/>
      <c r="X177" s="619"/>
      <c r="Z177" s="10"/>
    </row>
    <row r="178" spans="1:26" ht="12.75">
      <c r="A178" s="321" t="s">
        <v>101</v>
      </c>
      <c r="B178" s="378"/>
      <c r="C178" s="295"/>
      <c r="D178" s="295"/>
      <c r="E178" s="295"/>
      <c r="F178" s="295"/>
      <c r="G178" s="295"/>
      <c r="H178" s="295"/>
      <c r="I178" s="295"/>
      <c r="J178" s="295"/>
      <c r="K178" s="295"/>
      <c r="L178" s="295"/>
      <c r="M178" s="353"/>
      <c r="N178" s="353"/>
      <c r="O178" s="353"/>
      <c r="P178" s="353"/>
      <c r="Q178" s="353"/>
      <c r="R178" s="353"/>
      <c r="S178" s="353"/>
      <c r="T178" s="353"/>
      <c r="U178" s="353"/>
      <c r="V178" s="618"/>
      <c r="W178" s="617"/>
      <c r="X178" s="619"/>
      <c r="Z178" s="5"/>
    </row>
    <row r="179" spans="1:26" ht="12.75">
      <c r="A179" s="321" t="s">
        <v>19</v>
      </c>
      <c r="B179" s="295">
        <v>54.1</v>
      </c>
      <c r="C179" s="295">
        <v>65.8</v>
      </c>
      <c r="D179" s="295">
        <v>65.6</v>
      </c>
      <c r="E179" s="377">
        <v>65.6</v>
      </c>
      <c r="F179" s="377">
        <v>69.5</v>
      </c>
      <c r="G179" s="295">
        <v>69.5</v>
      </c>
      <c r="H179" s="295"/>
      <c r="I179" s="295"/>
      <c r="J179" s="295"/>
      <c r="K179" s="295"/>
      <c r="L179" s="295"/>
      <c r="M179" s="353"/>
      <c r="N179" s="353"/>
      <c r="O179" s="353"/>
      <c r="P179" s="353"/>
      <c r="Q179" s="353"/>
      <c r="R179" s="353"/>
      <c r="S179" s="353"/>
      <c r="T179" s="353"/>
      <c r="U179" s="353"/>
      <c r="V179" s="618">
        <f>SUM(B179:U179)/6</f>
        <v>65.01666666666667</v>
      </c>
      <c r="W179" s="617">
        <v>9031000</v>
      </c>
      <c r="X179" s="619">
        <f>V179/W179*2.5*100000</f>
        <v>1.799819141475658</v>
      </c>
      <c r="Z179" s="10"/>
    </row>
    <row r="180" spans="1:26" ht="12.75">
      <c r="A180" s="321" t="s">
        <v>17</v>
      </c>
      <c r="B180" s="295">
        <v>23.7</v>
      </c>
      <c r="C180" s="295">
        <v>25.5</v>
      </c>
      <c r="D180" s="295">
        <v>25.7</v>
      </c>
      <c r="E180" s="377">
        <v>25.7</v>
      </c>
      <c r="F180" s="377">
        <v>22.1</v>
      </c>
      <c r="G180" s="295">
        <v>22.1</v>
      </c>
      <c r="H180" s="295"/>
      <c r="I180" s="295"/>
      <c r="J180" s="295"/>
      <c r="K180" s="295"/>
      <c r="L180" s="295"/>
      <c r="M180" s="353"/>
      <c r="N180" s="353"/>
      <c r="O180" s="353"/>
      <c r="P180" s="353"/>
      <c r="Q180" s="353"/>
      <c r="R180" s="353"/>
      <c r="S180" s="353"/>
      <c r="T180" s="353"/>
      <c r="U180" s="353"/>
      <c r="V180" s="618">
        <f>SUM(B180:U180)/6</f>
        <v>24.133333333333336</v>
      </c>
      <c r="W180" s="617">
        <v>7589000</v>
      </c>
      <c r="X180" s="619">
        <f>V180/W180*2.5*100000</f>
        <v>0.7950103219572189</v>
      </c>
      <c r="Z180" s="10"/>
    </row>
    <row r="181" spans="1:26" ht="12.75">
      <c r="A181" s="321" t="s">
        <v>63</v>
      </c>
      <c r="B181" s="378"/>
      <c r="C181" s="295"/>
      <c r="D181" s="295"/>
      <c r="E181" s="295"/>
      <c r="F181" s="295"/>
      <c r="G181" s="295"/>
      <c r="H181" s="295"/>
      <c r="I181" s="295"/>
      <c r="J181" s="295"/>
      <c r="K181" s="295"/>
      <c r="L181" s="295"/>
      <c r="M181" s="353"/>
      <c r="N181" s="353"/>
      <c r="O181" s="353"/>
      <c r="P181" s="353"/>
      <c r="Q181" s="353"/>
      <c r="R181" s="353"/>
      <c r="S181" s="353"/>
      <c r="T181" s="353"/>
      <c r="U181" s="353"/>
      <c r="V181" s="618"/>
      <c r="W181" s="617"/>
      <c r="X181" s="619"/>
      <c r="Z181" s="10"/>
    </row>
    <row r="182" spans="1:26" ht="12.75">
      <c r="A182" s="321" t="s">
        <v>192</v>
      </c>
      <c r="B182" s="295">
        <v>37</v>
      </c>
      <c r="C182" s="295">
        <v>34.1</v>
      </c>
      <c r="D182" s="295">
        <v>38.3</v>
      </c>
      <c r="E182" s="377">
        <v>38.3</v>
      </c>
      <c r="F182" s="377">
        <v>38.3</v>
      </c>
      <c r="G182" s="295">
        <v>38.3</v>
      </c>
      <c r="H182" s="295"/>
      <c r="I182" s="377"/>
      <c r="J182" s="377"/>
      <c r="K182" s="377"/>
      <c r="L182" s="377"/>
      <c r="M182" s="353"/>
      <c r="N182" s="353"/>
      <c r="O182" s="353"/>
      <c r="P182" s="353"/>
      <c r="Q182" s="353"/>
      <c r="R182" s="353"/>
      <c r="S182" s="353"/>
      <c r="T182" s="353"/>
      <c r="U182" s="353"/>
      <c r="V182" s="618">
        <f>SUM(B182:U182)/6</f>
        <v>37.38333333333333</v>
      </c>
      <c r="W182" s="617">
        <v>22859000</v>
      </c>
      <c r="X182" s="619">
        <f>V182/W182*2.5*100000</f>
        <v>0.4088469895154352</v>
      </c>
      <c r="Z182" s="10"/>
    </row>
    <row r="183" spans="1:26" ht="12.75">
      <c r="A183" s="321" t="s">
        <v>109</v>
      </c>
      <c r="B183" s="378"/>
      <c r="C183" s="295"/>
      <c r="D183" s="295"/>
      <c r="E183" s="295"/>
      <c r="F183" s="295"/>
      <c r="G183" s="295"/>
      <c r="H183" s="295"/>
      <c r="I183" s="295"/>
      <c r="J183" s="295"/>
      <c r="K183" s="295"/>
      <c r="L183" s="295"/>
      <c r="M183" s="353"/>
      <c r="N183" s="353"/>
      <c r="O183" s="353"/>
      <c r="P183" s="353"/>
      <c r="Q183" s="353"/>
      <c r="R183" s="353"/>
      <c r="S183" s="353"/>
      <c r="T183" s="353"/>
      <c r="U183" s="353"/>
      <c r="V183" s="618"/>
      <c r="W183" s="617"/>
      <c r="X183" s="619"/>
      <c r="Z183" s="10"/>
    </row>
    <row r="184" spans="1:26" ht="12.75">
      <c r="A184" s="321" t="s">
        <v>121</v>
      </c>
      <c r="B184" s="378"/>
      <c r="C184" s="295"/>
      <c r="D184" s="295"/>
      <c r="E184" s="295"/>
      <c r="F184" s="295"/>
      <c r="G184" s="295"/>
      <c r="H184" s="295"/>
      <c r="I184" s="295"/>
      <c r="J184" s="295"/>
      <c r="K184" s="295"/>
      <c r="L184" s="295"/>
      <c r="M184" s="353"/>
      <c r="N184" s="353"/>
      <c r="O184" s="353"/>
      <c r="P184" s="353"/>
      <c r="Q184" s="353"/>
      <c r="R184" s="353"/>
      <c r="S184" s="353"/>
      <c r="T184" s="353"/>
      <c r="U184" s="353"/>
      <c r="V184" s="618"/>
      <c r="W184" s="617"/>
      <c r="X184" s="619"/>
      <c r="Z184" s="10"/>
    </row>
    <row r="185" spans="1:26" ht="12.75">
      <c r="A185" s="321" t="s">
        <v>72</v>
      </c>
      <c r="B185" s="378"/>
      <c r="C185" s="295"/>
      <c r="D185" s="295"/>
      <c r="E185" s="295"/>
      <c r="F185" s="295"/>
      <c r="G185" s="295"/>
      <c r="H185" s="295"/>
      <c r="I185" s="295"/>
      <c r="J185" s="295"/>
      <c r="K185" s="295"/>
      <c r="L185" s="295"/>
      <c r="M185" s="353"/>
      <c r="N185" s="353"/>
      <c r="O185" s="353"/>
      <c r="P185" s="353"/>
      <c r="Q185" s="353"/>
      <c r="R185" s="353"/>
      <c r="S185" s="353"/>
      <c r="T185" s="353"/>
      <c r="U185" s="353"/>
      <c r="V185" s="618"/>
      <c r="W185" s="617"/>
      <c r="X185" s="619"/>
      <c r="Z185" s="10"/>
    </row>
    <row r="186" spans="1:26" ht="12.75">
      <c r="A186" s="321" t="s">
        <v>185</v>
      </c>
      <c r="B186" s="378"/>
      <c r="C186" s="295"/>
      <c r="D186" s="295"/>
      <c r="E186" s="295"/>
      <c r="F186" s="295"/>
      <c r="G186" s="295"/>
      <c r="H186" s="295"/>
      <c r="I186" s="295"/>
      <c r="J186" s="295"/>
      <c r="K186" s="295"/>
      <c r="L186" s="295"/>
      <c r="M186" s="353"/>
      <c r="N186" s="353"/>
      <c r="O186" s="353"/>
      <c r="P186" s="353"/>
      <c r="Q186" s="353"/>
      <c r="R186" s="353"/>
      <c r="S186" s="353"/>
      <c r="T186" s="353"/>
      <c r="U186" s="353"/>
      <c r="V186" s="618"/>
      <c r="W186" s="617"/>
      <c r="X186" s="619"/>
      <c r="Z186" s="10"/>
    </row>
    <row r="187" spans="1:26" ht="12.75">
      <c r="A187" s="321" t="s">
        <v>151</v>
      </c>
      <c r="B187" s="378"/>
      <c r="C187" s="295"/>
      <c r="D187" s="295"/>
      <c r="E187" s="295"/>
      <c r="F187" s="295"/>
      <c r="G187" s="295"/>
      <c r="H187" s="295"/>
      <c r="I187" s="295"/>
      <c r="J187" s="295"/>
      <c r="K187" s="295"/>
      <c r="L187" s="295"/>
      <c r="M187" s="353"/>
      <c r="N187" s="353"/>
      <c r="O187" s="353"/>
      <c r="P187" s="353"/>
      <c r="Q187" s="353"/>
      <c r="R187" s="353"/>
      <c r="S187" s="353"/>
      <c r="T187" s="353"/>
      <c r="U187" s="353"/>
      <c r="V187" s="618"/>
      <c r="W187" s="617"/>
      <c r="X187" s="619"/>
      <c r="Z187" s="10"/>
    </row>
    <row r="188" spans="1:26" ht="12.75">
      <c r="A188" s="321" t="s">
        <v>178</v>
      </c>
      <c r="B188" s="378"/>
      <c r="C188" s="295"/>
      <c r="D188" s="295"/>
      <c r="E188" s="295"/>
      <c r="F188" s="295"/>
      <c r="G188" s="295"/>
      <c r="H188" s="295"/>
      <c r="I188" s="295"/>
      <c r="J188" s="295"/>
      <c r="K188" s="295"/>
      <c r="L188" s="295"/>
      <c r="M188" s="353"/>
      <c r="N188" s="353"/>
      <c r="O188" s="353"/>
      <c r="P188" s="353"/>
      <c r="Q188" s="353"/>
      <c r="R188" s="353"/>
      <c r="S188" s="353"/>
      <c r="T188" s="353"/>
      <c r="U188" s="353"/>
      <c r="V188" s="618"/>
      <c r="W188" s="617"/>
      <c r="X188" s="619"/>
      <c r="Z188" s="10"/>
    </row>
    <row r="189" spans="1:26" ht="12.75">
      <c r="A189" s="321" t="s">
        <v>103</v>
      </c>
      <c r="B189" s="378"/>
      <c r="C189" s="295"/>
      <c r="D189" s="295"/>
      <c r="E189" s="295"/>
      <c r="F189" s="295"/>
      <c r="G189" s="295"/>
      <c r="H189" s="295"/>
      <c r="I189" s="295"/>
      <c r="J189" s="295"/>
      <c r="K189" s="295"/>
      <c r="L189" s="295"/>
      <c r="M189" s="353"/>
      <c r="N189" s="353"/>
      <c r="O189" s="353"/>
      <c r="P189" s="353"/>
      <c r="Q189" s="353"/>
      <c r="R189" s="353"/>
      <c r="S189" s="353"/>
      <c r="T189" s="353"/>
      <c r="U189" s="353"/>
      <c r="V189" s="618"/>
      <c r="W189" s="617"/>
      <c r="X189" s="619"/>
      <c r="Z189" s="10"/>
    </row>
    <row r="190" spans="1:26" ht="12.75">
      <c r="A190" s="321" t="s">
        <v>78</v>
      </c>
      <c r="B190" s="378"/>
      <c r="C190" s="295"/>
      <c r="D190" s="295"/>
      <c r="E190" s="295"/>
      <c r="F190" s="295"/>
      <c r="G190" s="295"/>
      <c r="H190" s="295"/>
      <c r="I190" s="295"/>
      <c r="J190" s="295"/>
      <c r="K190" s="295"/>
      <c r="L190" s="295"/>
      <c r="M190" s="353"/>
      <c r="N190" s="353"/>
      <c r="O190" s="353"/>
      <c r="P190" s="353"/>
      <c r="Q190" s="353"/>
      <c r="R190" s="353"/>
      <c r="S190" s="353"/>
      <c r="T190" s="353"/>
      <c r="U190" s="353"/>
      <c r="V190" s="618"/>
      <c r="W190" s="617"/>
      <c r="X190" s="619"/>
      <c r="Z190" s="5"/>
    </row>
    <row r="191" spans="1:26" ht="12.75">
      <c r="A191" s="321" t="s">
        <v>81</v>
      </c>
      <c r="B191" s="378"/>
      <c r="C191" s="295"/>
      <c r="D191" s="295"/>
      <c r="E191" s="295"/>
      <c r="F191" s="295"/>
      <c r="G191" s="295"/>
      <c r="H191" s="295"/>
      <c r="I191" s="295"/>
      <c r="J191" s="295"/>
      <c r="K191" s="295"/>
      <c r="L191" s="295"/>
      <c r="M191" s="353"/>
      <c r="N191" s="353"/>
      <c r="O191" s="353"/>
      <c r="P191" s="353"/>
      <c r="Q191" s="353"/>
      <c r="R191" s="353"/>
      <c r="S191" s="353"/>
      <c r="T191" s="353"/>
      <c r="U191" s="353"/>
      <c r="V191" s="618"/>
      <c r="W191" s="617"/>
      <c r="X191" s="619"/>
      <c r="Z191" s="10"/>
    </row>
    <row r="192" spans="1:26" ht="12.75">
      <c r="A192" s="321" t="s">
        <v>14</v>
      </c>
      <c r="B192" s="378"/>
      <c r="C192" s="295"/>
      <c r="D192" s="295"/>
      <c r="E192" s="295"/>
      <c r="F192" s="295"/>
      <c r="G192" s="295"/>
      <c r="H192" s="295"/>
      <c r="I192" s="295"/>
      <c r="J192" s="295"/>
      <c r="K192" s="295"/>
      <c r="L192" s="295"/>
      <c r="M192" s="353"/>
      <c r="N192" s="353"/>
      <c r="O192" s="353"/>
      <c r="P192" s="353"/>
      <c r="Q192" s="353"/>
      <c r="R192" s="353"/>
      <c r="S192" s="353"/>
      <c r="T192" s="353"/>
      <c r="U192" s="353"/>
      <c r="V192" s="618"/>
      <c r="W192" s="617"/>
      <c r="X192" s="619"/>
      <c r="Z192" s="10"/>
    </row>
    <row r="193" spans="1:26" ht="12.75">
      <c r="A193" s="321" t="s">
        <v>115</v>
      </c>
      <c r="B193" s="378"/>
      <c r="C193" s="295"/>
      <c r="D193" s="295"/>
      <c r="E193" s="295"/>
      <c r="F193" s="295"/>
      <c r="G193" s="295"/>
      <c r="H193" s="295"/>
      <c r="I193" s="295"/>
      <c r="J193" s="295"/>
      <c r="K193" s="295"/>
      <c r="L193" s="295"/>
      <c r="M193" s="353"/>
      <c r="N193" s="353"/>
      <c r="O193" s="353"/>
      <c r="P193" s="353"/>
      <c r="Q193" s="353"/>
      <c r="R193" s="353"/>
      <c r="S193" s="353"/>
      <c r="T193" s="353"/>
      <c r="U193" s="353"/>
      <c r="V193" s="618"/>
      <c r="W193" s="617"/>
      <c r="X193" s="619"/>
      <c r="Z193" s="5"/>
    </row>
    <row r="194" spans="1:26" ht="12.75">
      <c r="A194" s="321" t="s">
        <v>15</v>
      </c>
      <c r="B194" s="295">
        <v>71.1</v>
      </c>
      <c r="C194" s="295">
        <v>71.3</v>
      </c>
      <c r="D194" s="295">
        <v>73.4</v>
      </c>
      <c r="E194" s="377">
        <v>73.4</v>
      </c>
      <c r="F194" s="377">
        <v>83.3</v>
      </c>
      <c r="G194" s="295">
        <v>83.3</v>
      </c>
      <c r="H194" s="295"/>
      <c r="I194" s="295"/>
      <c r="J194" s="295"/>
      <c r="K194" s="295"/>
      <c r="L194" s="295"/>
      <c r="M194" s="353"/>
      <c r="N194" s="353"/>
      <c r="O194" s="353"/>
      <c r="P194" s="353"/>
      <c r="Q194" s="353"/>
      <c r="R194" s="353"/>
      <c r="S194" s="353"/>
      <c r="T194" s="353"/>
      <c r="U194" s="353"/>
      <c r="V194" s="618">
        <f>SUM(B194:U194)/6</f>
        <v>75.96666666666667</v>
      </c>
      <c r="W194" s="617">
        <v>46300000</v>
      </c>
      <c r="X194" s="619">
        <f>V194/W194*2.5*100000</f>
        <v>0.410187185025198</v>
      </c>
      <c r="Z194" s="10"/>
    </row>
    <row r="195" spans="1:26" ht="12.75">
      <c r="A195" s="321" t="s">
        <v>145</v>
      </c>
      <c r="B195" s="378"/>
      <c r="C195" s="295"/>
      <c r="D195" s="295"/>
      <c r="E195" s="295"/>
      <c r="F195" s="295"/>
      <c r="G195" s="295"/>
      <c r="H195" s="295"/>
      <c r="I195" s="295"/>
      <c r="J195" s="295"/>
      <c r="K195" s="295"/>
      <c r="L195" s="295"/>
      <c r="M195" s="353"/>
      <c r="N195" s="353"/>
      <c r="O195" s="353"/>
      <c r="P195" s="353"/>
      <c r="Q195" s="353"/>
      <c r="R195" s="353"/>
      <c r="S195" s="353"/>
      <c r="T195" s="353"/>
      <c r="U195" s="353"/>
      <c r="V195" s="618"/>
      <c r="W195" s="617"/>
      <c r="X195" s="619"/>
      <c r="Z195" s="10"/>
    </row>
    <row r="196" spans="1:26" ht="12.75">
      <c r="A196" s="321" t="s">
        <v>28</v>
      </c>
      <c r="B196" s="295">
        <v>81.7</v>
      </c>
      <c r="C196" s="295">
        <v>85.6</v>
      </c>
      <c r="D196" s="295">
        <v>81.1</v>
      </c>
      <c r="E196" s="377">
        <v>81.1</v>
      </c>
      <c r="F196" s="377">
        <v>75.2</v>
      </c>
      <c r="G196" s="295">
        <v>75.2</v>
      </c>
      <c r="H196" s="295"/>
      <c r="I196" s="295"/>
      <c r="J196" s="295"/>
      <c r="K196" s="295"/>
      <c r="L196" s="295"/>
      <c r="M196" s="353"/>
      <c r="N196" s="353"/>
      <c r="O196" s="353"/>
      <c r="P196" s="353"/>
      <c r="Q196" s="353"/>
      <c r="R196" s="353"/>
      <c r="S196" s="353"/>
      <c r="T196" s="353"/>
      <c r="U196" s="353"/>
      <c r="V196" s="618">
        <f>SUM(B196:U196)/6</f>
        <v>79.98333333333333</v>
      </c>
      <c r="W196" s="617">
        <v>61506000</v>
      </c>
      <c r="X196" s="619">
        <f>V196/W196*2.5*100000</f>
        <v>0.32510378391268063</v>
      </c>
      <c r="Z196" s="10"/>
    </row>
    <row r="197" spans="1:26" ht="12.75">
      <c r="A197" s="321" t="s">
        <v>287</v>
      </c>
      <c r="B197" s="295">
        <v>753.9</v>
      </c>
      <c r="C197" s="295">
        <v>768.8</v>
      </c>
      <c r="D197" s="295">
        <v>780.1</v>
      </c>
      <c r="E197" s="377">
        <v>780.1</v>
      </c>
      <c r="F197" s="377">
        <v>780.5</v>
      </c>
      <c r="G197" s="295">
        <v>780.5</v>
      </c>
      <c r="H197" s="295"/>
      <c r="I197" s="295"/>
      <c r="J197" s="295"/>
      <c r="K197" s="295"/>
      <c r="L197" s="295"/>
      <c r="M197" s="353"/>
      <c r="N197" s="353"/>
      <c r="O197" s="353"/>
      <c r="P197" s="353"/>
      <c r="Q197" s="353"/>
      <c r="R197" s="353"/>
      <c r="S197" s="353"/>
      <c r="T197" s="353"/>
      <c r="U197" s="353"/>
      <c r="V197" s="618">
        <f>SUM(B197:U197)/6</f>
        <v>773.9833333333332</v>
      </c>
      <c r="W197" s="617">
        <v>301580000</v>
      </c>
      <c r="X197" s="619">
        <f>V197/W197*2.5*100000</f>
        <v>0.6416069810111191</v>
      </c>
      <c r="Z197" s="10"/>
    </row>
    <row r="198" spans="1:26" ht="12.75">
      <c r="A198" s="321" t="s">
        <v>86</v>
      </c>
      <c r="B198" s="378"/>
      <c r="C198" s="295"/>
      <c r="D198" s="295"/>
      <c r="E198" s="295"/>
      <c r="F198" s="295"/>
      <c r="G198" s="295"/>
      <c r="H198" s="295"/>
      <c r="I198" s="295"/>
      <c r="J198" s="295"/>
      <c r="K198" s="295"/>
      <c r="L198" s="295"/>
      <c r="M198" s="353"/>
      <c r="N198" s="353"/>
      <c r="O198" s="353"/>
      <c r="P198" s="353"/>
      <c r="Q198" s="353"/>
      <c r="R198" s="353"/>
      <c r="S198" s="353"/>
      <c r="T198" s="353"/>
      <c r="U198" s="353"/>
      <c r="V198" s="618"/>
      <c r="W198" s="617"/>
      <c r="X198" s="619"/>
      <c r="Z198" s="10"/>
    </row>
    <row r="199" spans="1:26" ht="12.75">
      <c r="A199" s="321" t="s">
        <v>138</v>
      </c>
      <c r="B199" s="378"/>
      <c r="C199" s="295"/>
      <c r="D199" s="295"/>
      <c r="E199" s="295"/>
      <c r="F199" s="295"/>
      <c r="G199" s="295"/>
      <c r="H199" s="295"/>
      <c r="I199" s="295"/>
      <c r="J199" s="295"/>
      <c r="K199" s="295"/>
      <c r="L199" s="295"/>
      <c r="M199" s="353"/>
      <c r="N199" s="353"/>
      <c r="O199" s="353"/>
      <c r="P199" s="353"/>
      <c r="Q199" s="353"/>
      <c r="R199" s="353"/>
      <c r="S199" s="353"/>
      <c r="T199" s="353"/>
      <c r="U199" s="353"/>
      <c r="V199" s="618"/>
      <c r="W199" s="617"/>
      <c r="X199" s="619"/>
      <c r="Z199" s="10"/>
    </row>
    <row r="200" spans="1:26" ht="12.75">
      <c r="A200" s="321" t="s">
        <v>182</v>
      </c>
      <c r="B200" s="378"/>
      <c r="C200" s="295"/>
      <c r="D200" s="295"/>
      <c r="E200" s="295"/>
      <c r="F200" s="295"/>
      <c r="G200" s="295"/>
      <c r="H200" s="295"/>
      <c r="I200" s="295"/>
      <c r="J200" s="295"/>
      <c r="K200" s="295"/>
      <c r="L200" s="295"/>
      <c r="M200" s="353"/>
      <c r="N200" s="353"/>
      <c r="O200" s="353"/>
      <c r="P200" s="353"/>
      <c r="Q200" s="353"/>
      <c r="R200" s="353"/>
      <c r="S200" s="353"/>
      <c r="T200" s="353"/>
      <c r="U200" s="353"/>
      <c r="V200" s="618"/>
      <c r="W200" s="617"/>
      <c r="X200" s="619"/>
      <c r="Z200" s="10"/>
    </row>
    <row r="201" spans="1:26" ht="12.75">
      <c r="A201" s="321" t="s">
        <v>70</v>
      </c>
      <c r="B201" s="378"/>
      <c r="C201" s="295"/>
      <c r="D201" s="295"/>
      <c r="E201" s="295"/>
      <c r="F201" s="295"/>
      <c r="G201" s="295"/>
      <c r="H201" s="295"/>
      <c r="I201" s="295"/>
      <c r="J201" s="295"/>
      <c r="K201" s="295"/>
      <c r="L201" s="295"/>
      <c r="M201" s="353"/>
      <c r="N201" s="353"/>
      <c r="O201" s="353"/>
      <c r="P201" s="353"/>
      <c r="Q201" s="353"/>
      <c r="R201" s="353"/>
      <c r="S201" s="353"/>
      <c r="T201" s="353"/>
      <c r="U201" s="353"/>
      <c r="V201" s="618"/>
      <c r="W201" s="617"/>
      <c r="X201" s="619"/>
      <c r="Z201" s="10"/>
    </row>
    <row r="202" spans="1:26" ht="12.75">
      <c r="A202" s="321" t="s">
        <v>205</v>
      </c>
      <c r="B202" s="378"/>
      <c r="C202" s="295"/>
      <c r="D202" s="295"/>
      <c r="E202" s="295"/>
      <c r="F202" s="295"/>
      <c r="G202" s="295"/>
      <c r="H202" s="295"/>
      <c r="I202" s="295"/>
      <c r="J202" s="295"/>
      <c r="K202" s="295"/>
      <c r="L202" s="295"/>
      <c r="M202" s="353"/>
      <c r="N202" s="353"/>
      <c r="O202" s="353"/>
      <c r="P202" s="353"/>
      <c r="Q202" s="353"/>
      <c r="R202" s="353"/>
      <c r="S202" s="353"/>
      <c r="T202" s="353"/>
      <c r="U202" s="353"/>
      <c r="V202" s="618"/>
      <c r="W202" s="617"/>
      <c r="X202" s="619"/>
      <c r="Z202" s="10"/>
    </row>
    <row r="203" spans="1:26" ht="12.75">
      <c r="A203" s="321" t="s">
        <v>181</v>
      </c>
      <c r="B203" s="378"/>
      <c r="C203" s="295"/>
      <c r="D203" s="295"/>
      <c r="E203" s="295"/>
      <c r="F203" s="295"/>
      <c r="G203" s="295"/>
      <c r="H203" s="295"/>
      <c r="I203" s="295"/>
      <c r="J203" s="295"/>
      <c r="K203" s="295"/>
      <c r="L203" s="295"/>
      <c r="M203" s="353"/>
      <c r="N203" s="353"/>
      <c r="O203" s="353"/>
      <c r="P203" s="353"/>
      <c r="Q203" s="353"/>
      <c r="R203" s="353"/>
      <c r="S203" s="353"/>
      <c r="T203" s="353"/>
      <c r="U203" s="353"/>
      <c r="V203" s="618"/>
      <c r="W203" s="617"/>
      <c r="X203" s="619"/>
      <c r="Z203" s="10"/>
    </row>
    <row r="204" spans="1:26" ht="12.75">
      <c r="A204" s="321" t="s">
        <v>119</v>
      </c>
      <c r="B204" s="378"/>
      <c r="C204" s="295"/>
      <c r="D204" s="295"/>
      <c r="E204" s="295"/>
      <c r="F204" s="295"/>
      <c r="G204" s="295"/>
      <c r="H204" s="295"/>
      <c r="I204" s="295"/>
      <c r="J204" s="295"/>
      <c r="K204" s="295"/>
      <c r="L204" s="295"/>
      <c r="M204" s="353"/>
      <c r="N204" s="353"/>
      <c r="O204" s="353"/>
      <c r="P204" s="353"/>
      <c r="Q204" s="353"/>
      <c r="R204" s="353"/>
      <c r="S204" s="353"/>
      <c r="T204" s="353"/>
      <c r="U204" s="353"/>
      <c r="V204" s="618"/>
      <c r="W204" s="617"/>
      <c r="X204" s="619"/>
      <c r="Z204" s="10"/>
    </row>
    <row r="205" spans="1:26" ht="12.75">
      <c r="A205" s="321" t="s">
        <v>125</v>
      </c>
      <c r="B205" s="378"/>
      <c r="C205" s="295"/>
      <c r="D205" s="295"/>
      <c r="E205" s="295"/>
      <c r="F205" s="295"/>
      <c r="G205" s="317"/>
      <c r="H205" s="317"/>
      <c r="I205" s="295"/>
      <c r="J205" s="295"/>
      <c r="K205" s="295"/>
      <c r="L205" s="295"/>
      <c r="M205" s="353"/>
      <c r="N205" s="353"/>
      <c r="O205" s="353"/>
      <c r="P205" s="353"/>
      <c r="Q205" s="353"/>
      <c r="R205" s="353"/>
      <c r="S205" s="353"/>
      <c r="T205" s="353"/>
      <c r="U205" s="353"/>
      <c r="V205" s="620"/>
      <c r="W205" s="617"/>
      <c r="X205" s="619"/>
      <c r="Z205" s="10"/>
    </row>
    <row r="206" spans="1:26" ht="12.75">
      <c r="A206" s="321" t="s">
        <v>122</v>
      </c>
      <c r="B206" s="378"/>
      <c r="C206" s="295"/>
      <c r="D206" s="295"/>
      <c r="E206" s="295"/>
      <c r="F206" s="295"/>
      <c r="G206" s="317"/>
      <c r="H206" s="317"/>
      <c r="I206" s="295"/>
      <c r="J206" s="295"/>
      <c r="K206" s="295"/>
      <c r="L206" s="295"/>
      <c r="M206" s="353"/>
      <c r="N206" s="353"/>
      <c r="O206" s="353"/>
      <c r="P206" s="353"/>
      <c r="Q206" s="375"/>
      <c r="R206" s="376"/>
      <c r="S206" s="353"/>
      <c r="T206" s="353"/>
      <c r="U206" s="353"/>
      <c r="V206" s="618"/>
      <c r="W206" s="617"/>
      <c r="X206" s="619"/>
      <c r="Z206" s="10"/>
    </row>
    <row r="207" spans="2:26" ht="12.75">
      <c r="B207" s="369"/>
      <c r="C207" s="367"/>
      <c r="D207" s="367"/>
      <c r="E207" s="367"/>
      <c r="F207" s="367"/>
      <c r="G207" s="367"/>
      <c r="H207" s="367"/>
      <c r="I207" s="367"/>
      <c r="J207" s="367"/>
      <c r="K207" s="367"/>
      <c r="L207" s="367"/>
      <c r="M207" s="367"/>
      <c r="N207" s="367"/>
      <c r="O207" s="367"/>
      <c r="P207" s="367"/>
      <c r="Q207" s="367"/>
      <c r="R207" s="367"/>
      <c r="S207" s="367"/>
      <c r="T207" s="367"/>
      <c r="U207" s="367"/>
      <c r="V207" s="367"/>
      <c r="W207" s="367"/>
      <c r="X207" s="367"/>
      <c r="Z207" s="10"/>
    </row>
    <row r="208" spans="1:26" ht="12.75">
      <c r="A208" s="71"/>
      <c r="B208" s="370"/>
      <c r="C208" s="71"/>
      <c r="D208" s="71"/>
      <c r="E208" s="71"/>
      <c r="F208" s="71"/>
      <c r="G208" s="99"/>
      <c r="H208" s="99"/>
      <c r="I208" s="71"/>
      <c r="J208" s="71"/>
      <c r="K208" s="71"/>
      <c r="L208" s="71"/>
      <c r="M208" s="71"/>
      <c r="N208" s="71"/>
      <c r="O208" s="71"/>
      <c r="P208" s="71"/>
      <c r="Q208" s="71"/>
      <c r="R208" s="71"/>
      <c r="S208" s="71"/>
      <c r="T208" s="73"/>
      <c r="U208" s="73"/>
      <c r="V208" s="368"/>
      <c r="W208" s="71"/>
      <c r="X208" s="71"/>
      <c r="Y208" s="1"/>
      <c r="Z208" s="1"/>
    </row>
    <row r="209" spans="1:26" ht="12.75">
      <c r="A209" s="71"/>
      <c r="B209" s="370"/>
      <c r="C209" s="71"/>
      <c r="D209" s="71"/>
      <c r="E209" s="71"/>
      <c r="F209" s="71"/>
      <c r="G209" s="71"/>
      <c r="H209" s="71"/>
      <c r="I209" s="71"/>
      <c r="J209" s="71"/>
      <c r="K209" s="71"/>
      <c r="L209" s="71"/>
      <c r="M209" s="71"/>
      <c r="N209" s="71"/>
      <c r="O209" s="71"/>
      <c r="P209" s="71"/>
      <c r="Q209" s="71"/>
      <c r="R209" s="71"/>
      <c r="S209" s="71"/>
      <c r="T209" s="73"/>
      <c r="U209" s="73"/>
      <c r="V209" s="71"/>
      <c r="W209" s="71"/>
      <c r="X209" s="71"/>
      <c r="Y209" s="1"/>
      <c r="Z209" s="1"/>
    </row>
    <row r="210" spans="1:26" ht="12.75">
      <c r="A210" s="71"/>
      <c r="B210" s="370"/>
      <c r="C210" s="71"/>
      <c r="D210" s="71"/>
      <c r="E210" s="71"/>
      <c r="F210" s="71"/>
      <c r="G210" s="71"/>
      <c r="H210" s="71"/>
      <c r="I210" s="71"/>
      <c r="J210" s="71"/>
      <c r="K210" s="71"/>
      <c r="L210" s="71"/>
      <c r="M210" s="71"/>
      <c r="N210" s="71"/>
      <c r="O210" s="71"/>
      <c r="P210" s="71"/>
      <c r="Q210" s="71"/>
      <c r="R210" s="71"/>
      <c r="S210" s="71"/>
      <c r="T210" s="73"/>
      <c r="U210" s="73"/>
      <c r="V210" s="71"/>
      <c r="W210" s="71"/>
      <c r="X210" s="71"/>
      <c r="Y210" s="1"/>
      <c r="Z210" s="1"/>
    </row>
    <row r="211" spans="1:26" ht="12.75">
      <c r="A211" s="71"/>
      <c r="B211" s="370"/>
      <c r="C211" s="71"/>
      <c r="D211" s="71"/>
      <c r="E211" s="71"/>
      <c r="F211" s="71"/>
      <c r="G211" s="71"/>
      <c r="H211" s="71"/>
      <c r="I211" s="71"/>
      <c r="J211" s="71"/>
      <c r="K211" s="71"/>
      <c r="L211" s="71"/>
      <c r="M211" s="71"/>
      <c r="N211" s="71"/>
      <c r="O211" s="71"/>
      <c r="P211" s="71"/>
      <c r="Q211" s="71"/>
      <c r="R211" s="71"/>
      <c r="S211" s="71"/>
      <c r="T211" s="73"/>
      <c r="U211" s="73"/>
      <c r="V211" s="71"/>
      <c r="W211" s="71"/>
      <c r="X211" s="71"/>
      <c r="Y211" s="1"/>
      <c r="Z211" s="1"/>
    </row>
    <row r="212" spans="1:26" ht="12.75">
      <c r="A212" s="71"/>
      <c r="B212" s="370"/>
      <c r="C212" s="71"/>
      <c r="D212" s="71"/>
      <c r="E212" s="71"/>
      <c r="F212" s="71"/>
      <c r="G212" s="99"/>
      <c r="H212" s="99"/>
      <c r="I212" s="71"/>
      <c r="J212" s="71"/>
      <c r="K212" s="71"/>
      <c r="L212" s="71"/>
      <c r="M212" s="71"/>
      <c r="N212" s="71"/>
      <c r="O212" s="71"/>
      <c r="P212" s="71"/>
      <c r="Q212" s="371"/>
      <c r="R212" s="372"/>
      <c r="S212" s="71"/>
      <c r="T212" s="73"/>
      <c r="U212" s="73"/>
      <c r="V212" s="71"/>
      <c r="W212" s="71"/>
      <c r="X212" s="71"/>
      <c r="Y212" s="1"/>
      <c r="Z212" s="1"/>
    </row>
    <row r="213" spans="1:26" ht="12.75">
      <c r="A213" s="71"/>
      <c r="B213" s="370"/>
      <c r="C213" s="71"/>
      <c r="D213" s="71"/>
      <c r="E213" s="71"/>
      <c r="F213" s="71"/>
      <c r="G213" s="71"/>
      <c r="H213" s="71"/>
      <c r="I213" s="71"/>
      <c r="J213" s="71"/>
      <c r="K213" s="71"/>
      <c r="L213" s="71"/>
      <c r="M213" s="71"/>
      <c r="N213" s="71"/>
      <c r="O213" s="71"/>
      <c r="P213" s="71"/>
      <c r="Q213" s="71"/>
      <c r="R213" s="71"/>
      <c r="S213" s="71"/>
      <c r="T213" s="73"/>
      <c r="U213" s="73"/>
      <c r="V213" s="373"/>
      <c r="W213" s="71"/>
      <c r="X213" s="71"/>
      <c r="Y213" s="1"/>
      <c r="Z213" s="1"/>
    </row>
    <row r="214" spans="1:26" ht="12.75">
      <c r="A214" s="71"/>
      <c r="B214" s="370"/>
      <c r="C214" s="71"/>
      <c r="D214" s="71"/>
      <c r="E214" s="71"/>
      <c r="F214" s="71"/>
      <c r="G214" s="99"/>
      <c r="H214" s="99"/>
      <c r="I214" s="71"/>
      <c r="J214" s="71"/>
      <c r="K214" s="71"/>
      <c r="L214" s="71"/>
      <c r="M214" s="71"/>
      <c r="N214" s="71"/>
      <c r="O214" s="71"/>
      <c r="P214" s="71"/>
      <c r="Q214" s="371"/>
      <c r="R214" s="372"/>
      <c r="S214" s="71"/>
      <c r="T214" s="73"/>
      <c r="U214" s="73"/>
      <c r="V214" s="368"/>
      <c r="W214" s="71"/>
      <c r="X214" s="71"/>
      <c r="Y214" s="1"/>
      <c r="Z214" s="1"/>
    </row>
    <row r="215" spans="1:26" ht="12.75">
      <c r="A215" s="71"/>
      <c r="B215" s="370"/>
      <c r="C215" s="71"/>
      <c r="D215" s="71"/>
      <c r="E215" s="71"/>
      <c r="F215" s="71"/>
      <c r="G215" s="99"/>
      <c r="H215" s="99"/>
      <c r="I215" s="71"/>
      <c r="J215" s="71"/>
      <c r="K215" s="71"/>
      <c r="L215" s="71"/>
      <c r="M215" s="71"/>
      <c r="N215" s="71"/>
      <c r="O215" s="71"/>
      <c r="P215" s="71"/>
      <c r="Q215" s="371"/>
      <c r="R215" s="372"/>
      <c r="S215" s="71"/>
      <c r="T215" s="73"/>
      <c r="U215" s="73"/>
      <c r="V215" s="71"/>
      <c r="W215" s="71"/>
      <c r="X215" s="71"/>
      <c r="Y215" s="1"/>
      <c r="Z215" s="1"/>
    </row>
    <row r="216" spans="1:24" ht="12.75">
      <c r="A216" s="71"/>
      <c r="B216" s="370"/>
      <c r="C216" s="71"/>
      <c r="D216" s="71"/>
      <c r="E216" s="71"/>
      <c r="F216" s="71"/>
      <c r="G216" s="99"/>
      <c r="H216" s="99"/>
      <c r="I216" s="71"/>
      <c r="J216" s="71"/>
      <c r="K216" s="71"/>
      <c r="L216" s="71"/>
      <c r="M216" s="71"/>
      <c r="N216" s="71"/>
      <c r="O216" s="71"/>
      <c r="P216" s="71"/>
      <c r="Q216" s="371"/>
      <c r="R216" s="372"/>
      <c r="S216" s="71"/>
      <c r="T216" s="73"/>
      <c r="U216" s="73"/>
      <c r="V216" s="71"/>
      <c r="W216" s="71"/>
      <c r="X216" s="71"/>
    </row>
    <row r="217" spans="1:24" ht="12.75">
      <c r="A217" s="71"/>
      <c r="B217" s="370"/>
      <c r="C217" s="71"/>
      <c r="D217" s="71"/>
      <c r="E217" s="71"/>
      <c r="F217" s="71"/>
      <c r="G217" s="71"/>
      <c r="H217" s="71"/>
      <c r="I217" s="71"/>
      <c r="J217" s="71"/>
      <c r="K217" s="71"/>
      <c r="L217" s="71"/>
      <c r="M217" s="71"/>
      <c r="N217" s="71"/>
      <c r="O217" s="71"/>
      <c r="P217" s="71"/>
      <c r="Q217" s="71"/>
      <c r="R217" s="71"/>
      <c r="S217" s="71"/>
      <c r="T217" s="73"/>
      <c r="U217" s="73"/>
      <c r="V217" s="368"/>
      <c r="W217" s="71"/>
      <c r="X217" s="71"/>
    </row>
    <row r="218" spans="1:24" ht="12.75">
      <c r="A218" s="71"/>
      <c r="B218" s="370"/>
      <c r="C218" s="71"/>
      <c r="D218" s="71"/>
      <c r="E218" s="71"/>
      <c r="F218" s="71"/>
      <c r="G218" s="99"/>
      <c r="H218" s="99"/>
      <c r="I218" s="71"/>
      <c r="J218" s="71"/>
      <c r="K218" s="71"/>
      <c r="L218" s="71"/>
      <c r="M218" s="71"/>
      <c r="N218" s="71"/>
      <c r="O218" s="71"/>
      <c r="P218" s="71"/>
      <c r="Q218" s="371"/>
      <c r="R218" s="372"/>
      <c r="S218" s="71"/>
      <c r="T218" s="73"/>
      <c r="U218" s="73"/>
      <c r="V218" s="368"/>
      <c r="W218" s="71"/>
      <c r="X218" s="71"/>
    </row>
    <row r="219" spans="1:24" ht="12.75">
      <c r="A219" s="71"/>
      <c r="B219" s="370"/>
      <c r="C219" s="71"/>
      <c r="D219" s="71"/>
      <c r="E219" s="71"/>
      <c r="F219" s="71"/>
      <c r="G219" s="71"/>
      <c r="H219" s="71"/>
      <c r="I219" s="71"/>
      <c r="J219" s="71"/>
      <c r="K219" s="71"/>
      <c r="L219" s="71"/>
      <c r="M219" s="71"/>
      <c r="N219" s="71"/>
      <c r="O219" s="71"/>
      <c r="P219" s="71"/>
      <c r="Q219" s="71"/>
      <c r="R219" s="71"/>
      <c r="S219" s="71"/>
      <c r="T219" s="73"/>
      <c r="U219" s="73"/>
      <c r="V219" s="368"/>
      <c r="W219" s="71"/>
      <c r="X219" s="71"/>
    </row>
    <row r="220" spans="1:24" ht="12.75">
      <c r="A220" s="71"/>
      <c r="B220" s="370"/>
      <c r="C220" s="73"/>
      <c r="D220" s="73"/>
      <c r="E220" s="73"/>
      <c r="F220" s="73"/>
      <c r="G220" s="73"/>
      <c r="H220" s="73"/>
      <c r="I220" s="73"/>
      <c r="J220" s="73"/>
      <c r="K220" s="73"/>
      <c r="L220" s="73"/>
      <c r="M220" s="73"/>
      <c r="N220" s="73"/>
      <c r="O220" s="73"/>
      <c r="P220" s="73"/>
      <c r="Q220" s="73"/>
      <c r="R220" s="73"/>
      <c r="S220" s="73"/>
      <c r="T220" s="73"/>
      <c r="U220" s="73"/>
      <c r="V220" s="368"/>
      <c r="W220" s="73"/>
      <c r="X220" s="73"/>
    </row>
    <row r="221" spans="1:24" ht="12.75">
      <c r="A221" s="71"/>
      <c r="B221" s="370"/>
      <c r="C221" s="73"/>
      <c r="D221" s="73"/>
      <c r="E221" s="73"/>
      <c r="F221" s="73"/>
      <c r="G221" s="73"/>
      <c r="H221" s="73"/>
      <c r="I221" s="73"/>
      <c r="J221" s="73"/>
      <c r="K221" s="73"/>
      <c r="L221" s="73"/>
      <c r="M221" s="73"/>
      <c r="N221" s="73"/>
      <c r="O221" s="73"/>
      <c r="P221" s="73"/>
      <c r="Q221" s="73"/>
      <c r="R221" s="73"/>
      <c r="S221" s="73"/>
      <c r="T221" s="73"/>
      <c r="U221" s="73"/>
      <c r="V221" s="99"/>
      <c r="W221" s="73"/>
      <c r="X221" s="73"/>
    </row>
    <row r="222" spans="1:24" ht="12.75">
      <c r="A222" s="71"/>
      <c r="B222" s="370"/>
      <c r="C222" s="73"/>
      <c r="D222" s="73"/>
      <c r="E222" s="73"/>
      <c r="F222" s="73"/>
      <c r="G222" s="73"/>
      <c r="H222" s="73"/>
      <c r="I222" s="73"/>
      <c r="J222" s="73"/>
      <c r="K222" s="73"/>
      <c r="L222" s="73"/>
      <c r="M222" s="73"/>
      <c r="N222" s="73"/>
      <c r="O222" s="73"/>
      <c r="P222" s="73"/>
      <c r="Q222" s="73"/>
      <c r="R222" s="73"/>
      <c r="S222" s="73"/>
      <c r="T222" s="73"/>
      <c r="U222" s="73"/>
      <c r="V222" s="374"/>
      <c r="W222" s="73"/>
      <c r="X222" s="73"/>
    </row>
    <row r="223" spans="1:24" ht="12.75">
      <c r="A223" s="71"/>
      <c r="B223" s="370"/>
      <c r="C223" s="73"/>
      <c r="D223" s="73"/>
      <c r="E223" s="73"/>
      <c r="F223" s="73"/>
      <c r="G223" s="73"/>
      <c r="H223" s="73"/>
      <c r="I223" s="73"/>
      <c r="J223" s="73"/>
      <c r="K223" s="73"/>
      <c r="L223" s="73"/>
      <c r="M223" s="73"/>
      <c r="N223" s="73"/>
      <c r="O223" s="73"/>
      <c r="P223" s="73"/>
      <c r="Q223" s="73"/>
      <c r="R223" s="73"/>
      <c r="S223" s="73"/>
      <c r="T223" s="73"/>
      <c r="U223" s="73"/>
      <c r="V223" s="73"/>
      <c r="W223" s="73"/>
      <c r="X223" s="73"/>
    </row>
    <row r="224" spans="1:24" ht="12.75">
      <c r="A224" s="71"/>
      <c r="B224" s="370"/>
      <c r="C224" s="73"/>
      <c r="D224" s="73"/>
      <c r="E224" s="73"/>
      <c r="F224" s="73"/>
      <c r="G224" s="73"/>
      <c r="H224" s="73"/>
      <c r="I224" s="73"/>
      <c r="J224" s="73"/>
      <c r="K224" s="73"/>
      <c r="L224" s="73"/>
      <c r="M224" s="73"/>
      <c r="N224" s="73"/>
      <c r="O224" s="73"/>
      <c r="P224" s="73"/>
      <c r="Q224" s="73"/>
      <c r="R224" s="73"/>
      <c r="S224" s="73"/>
      <c r="T224" s="73"/>
      <c r="U224" s="73"/>
      <c r="V224" s="73"/>
      <c r="W224" s="73"/>
      <c r="X224" s="73"/>
    </row>
    <row r="225" spans="1:24" ht="12.75">
      <c r="A225" s="71"/>
      <c r="B225" s="370"/>
      <c r="C225" s="73"/>
      <c r="D225" s="73"/>
      <c r="E225" s="73"/>
      <c r="F225" s="73"/>
      <c r="G225" s="73"/>
      <c r="H225" s="73"/>
      <c r="I225" s="73"/>
      <c r="J225" s="73"/>
      <c r="K225" s="73"/>
      <c r="L225" s="73"/>
      <c r="M225" s="73"/>
      <c r="N225" s="73"/>
      <c r="O225" s="73"/>
      <c r="P225" s="73"/>
      <c r="Q225" s="73"/>
      <c r="R225" s="73"/>
      <c r="S225" s="73"/>
      <c r="T225" s="73"/>
      <c r="U225" s="73"/>
      <c r="V225" s="73"/>
      <c r="W225" s="73"/>
      <c r="X225" s="73"/>
    </row>
    <row r="226" spans="1:24" ht="12.75">
      <c r="A226" s="71"/>
      <c r="B226" s="370"/>
      <c r="C226" s="73"/>
      <c r="D226" s="73"/>
      <c r="E226" s="73"/>
      <c r="F226" s="73"/>
      <c r="G226" s="73"/>
      <c r="H226" s="73"/>
      <c r="I226" s="73"/>
      <c r="J226" s="73"/>
      <c r="K226" s="73"/>
      <c r="L226" s="73"/>
      <c r="M226" s="73"/>
      <c r="N226" s="73"/>
      <c r="O226" s="73"/>
      <c r="P226" s="73"/>
      <c r="Q226" s="73"/>
      <c r="R226" s="73"/>
      <c r="S226" s="73"/>
      <c r="T226" s="73"/>
      <c r="U226" s="73"/>
      <c r="V226" s="73"/>
      <c r="W226" s="73"/>
      <c r="X226" s="73"/>
    </row>
    <row r="227" spans="1:24" ht="12.75">
      <c r="A227" s="71"/>
      <c r="B227" s="370"/>
      <c r="C227" s="73"/>
      <c r="D227" s="73"/>
      <c r="E227" s="73"/>
      <c r="F227" s="73"/>
      <c r="G227" s="73"/>
      <c r="H227" s="73"/>
      <c r="I227" s="73"/>
      <c r="J227" s="73"/>
      <c r="K227" s="73"/>
      <c r="L227" s="73"/>
      <c r="M227" s="73"/>
      <c r="N227" s="73"/>
      <c r="O227" s="73"/>
      <c r="P227" s="73"/>
      <c r="Q227" s="73"/>
      <c r="R227" s="73"/>
      <c r="S227" s="73"/>
      <c r="T227" s="73"/>
      <c r="U227" s="73"/>
      <c r="V227" s="73"/>
      <c r="W227" s="73"/>
      <c r="X227" s="73"/>
    </row>
    <row r="228" spans="1:24" ht="12.75">
      <c r="A228" s="71"/>
      <c r="B228" s="370"/>
      <c r="C228" s="73"/>
      <c r="D228" s="73"/>
      <c r="E228" s="73"/>
      <c r="F228" s="73"/>
      <c r="G228" s="73"/>
      <c r="H228" s="73"/>
      <c r="I228" s="73"/>
      <c r="J228" s="73"/>
      <c r="K228" s="73"/>
      <c r="L228" s="73"/>
      <c r="M228" s="73"/>
      <c r="N228" s="73"/>
      <c r="O228" s="73"/>
      <c r="P228" s="73"/>
      <c r="Q228" s="73"/>
      <c r="R228" s="73"/>
      <c r="S228" s="73"/>
      <c r="T228" s="73"/>
      <c r="U228" s="73"/>
      <c r="V228" s="73"/>
      <c r="W228" s="73"/>
      <c r="X228" s="73"/>
    </row>
    <row r="229" spans="1:24" ht="12.75">
      <c r="A229" s="71"/>
      <c r="B229" s="370"/>
      <c r="C229" s="73"/>
      <c r="D229" s="73"/>
      <c r="E229" s="73"/>
      <c r="F229" s="73"/>
      <c r="G229" s="73"/>
      <c r="H229" s="73"/>
      <c r="I229" s="73"/>
      <c r="J229" s="73"/>
      <c r="K229" s="73"/>
      <c r="L229" s="73"/>
      <c r="M229" s="73"/>
      <c r="N229" s="73"/>
      <c r="O229" s="73"/>
      <c r="P229" s="73"/>
      <c r="Q229" s="73"/>
      <c r="R229" s="73"/>
      <c r="S229" s="73"/>
      <c r="T229" s="73"/>
      <c r="U229" s="73"/>
      <c r="V229" s="73"/>
      <c r="W229" s="73"/>
      <c r="X229" s="73"/>
    </row>
    <row r="230" spans="1:24" ht="12.75">
      <c r="A230" s="71"/>
      <c r="B230" s="370"/>
      <c r="C230" s="73"/>
      <c r="D230" s="73"/>
      <c r="E230" s="73"/>
      <c r="F230" s="73"/>
      <c r="G230" s="73"/>
      <c r="H230" s="73"/>
      <c r="I230" s="73"/>
      <c r="J230" s="73"/>
      <c r="K230" s="73"/>
      <c r="L230" s="73"/>
      <c r="M230" s="73"/>
      <c r="N230" s="73"/>
      <c r="O230" s="73"/>
      <c r="P230" s="73"/>
      <c r="Q230" s="73"/>
      <c r="R230" s="73"/>
      <c r="S230" s="73"/>
      <c r="T230" s="73"/>
      <c r="U230" s="73"/>
      <c r="V230" s="73"/>
      <c r="W230" s="73"/>
      <c r="X230" s="73"/>
    </row>
    <row r="231" spans="1:24" ht="12.75">
      <c r="A231" s="71"/>
      <c r="B231" s="370"/>
      <c r="C231" s="73"/>
      <c r="D231" s="73"/>
      <c r="E231" s="73"/>
      <c r="F231" s="73"/>
      <c r="G231" s="73"/>
      <c r="H231" s="73"/>
      <c r="I231" s="73"/>
      <c r="J231" s="73"/>
      <c r="K231" s="73"/>
      <c r="L231" s="73"/>
      <c r="M231" s="73"/>
      <c r="N231" s="73"/>
      <c r="O231" s="73"/>
      <c r="P231" s="73"/>
      <c r="Q231" s="73"/>
      <c r="R231" s="73"/>
      <c r="S231" s="73"/>
      <c r="T231" s="73"/>
      <c r="U231" s="73"/>
      <c r="V231" s="73"/>
      <c r="W231" s="73"/>
      <c r="X231" s="73"/>
    </row>
    <row r="232" spans="1:24" ht="12.75">
      <c r="A232" s="71"/>
      <c r="B232" s="370"/>
      <c r="C232" s="73"/>
      <c r="D232" s="73"/>
      <c r="E232" s="73"/>
      <c r="F232" s="73"/>
      <c r="G232" s="73"/>
      <c r="H232" s="73"/>
      <c r="I232" s="73"/>
      <c r="J232" s="73"/>
      <c r="K232" s="73"/>
      <c r="L232" s="73"/>
      <c r="M232" s="73"/>
      <c r="N232" s="73"/>
      <c r="O232" s="73"/>
      <c r="P232" s="73"/>
      <c r="Q232" s="73"/>
      <c r="R232" s="73"/>
      <c r="S232" s="73"/>
      <c r="T232" s="73"/>
      <c r="U232" s="73"/>
      <c r="V232" s="73"/>
      <c r="W232" s="73"/>
      <c r="X232" s="73"/>
    </row>
    <row r="233" spans="1:24" ht="12.75">
      <c r="A233" s="71"/>
      <c r="B233" s="370"/>
      <c r="C233" s="73"/>
      <c r="D233" s="73"/>
      <c r="E233" s="73"/>
      <c r="F233" s="73"/>
      <c r="G233" s="73"/>
      <c r="H233" s="73"/>
      <c r="I233" s="73"/>
      <c r="J233" s="73"/>
      <c r="K233" s="73"/>
      <c r="L233" s="73"/>
      <c r="M233" s="73"/>
      <c r="N233" s="73"/>
      <c r="O233" s="73"/>
      <c r="P233" s="73"/>
      <c r="Q233" s="73"/>
      <c r="R233" s="73"/>
      <c r="S233" s="73"/>
      <c r="T233" s="73"/>
      <c r="U233" s="73"/>
      <c r="V233" s="73"/>
      <c r="W233" s="73"/>
      <c r="X233" s="73"/>
    </row>
    <row r="234" spans="1:24" ht="12.75">
      <c r="A234" s="71"/>
      <c r="B234" s="369"/>
      <c r="C234" s="367"/>
      <c r="D234" s="367"/>
      <c r="E234" s="367"/>
      <c r="F234" s="367"/>
      <c r="G234" s="367"/>
      <c r="H234" s="367"/>
      <c r="I234" s="367"/>
      <c r="J234" s="367"/>
      <c r="K234" s="367"/>
      <c r="L234" s="367"/>
      <c r="M234" s="367"/>
      <c r="N234" s="367"/>
      <c r="O234" s="367"/>
      <c r="P234" s="367"/>
      <c r="Q234" s="367"/>
      <c r="R234" s="367"/>
      <c r="S234" s="367"/>
      <c r="T234" s="367"/>
      <c r="U234" s="367"/>
      <c r="V234" s="367"/>
      <c r="W234" s="367"/>
      <c r="X234" s="367"/>
    </row>
    <row r="235" spans="1:24" ht="12.75">
      <c r="A235" s="71"/>
      <c r="B235" s="369"/>
      <c r="C235" s="367"/>
      <c r="D235" s="367"/>
      <c r="E235" s="367"/>
      <c r="F235" s="367"/>
      <c r="G235" s="367"/>
      <c r="H235" s="367"/>
      <c r="I235" s="367"/>
      <c r="J235" s="367"/>
      <c r="K235" s="367"/>
      <c r="L235" s="367"/>
      <c r="M235" s="367"/>
      <c r="N235" s="367"/>
      <c r="O235" s="367"/>
      <c r="P235" s="367"/>
      <c r="Q235" s="367"/>
      <c r="R235" s="367"/>
      <c r="S235" s="367"/>
      <c r="T235" s="367"/>
      <c r="U235" s="367"/>
      <c r="V235" s="367"/>
      <c r="W235" s="367"/>
      <c r="X235" s="367"/>
    </row>
    <row r="236" spans="1:24" ht="12.75">
      <c r="A236" s="71"/>
      <c r="B236" s="369"/>
      <c r="C236" s="367"/>
      <c r="D236" s="367"/>
      <c r="E236" s="367"/>
      <c r="F236" s="367"/>
      <c r="G236" s="367"/>
      <c r="H236" s="367"/>
      <c r="I236" s="367"/>
      <c r="J236" s="367"/>
      <c r="K236" s="367"/>
      <c r="L236" s="367"/>
      <c r="M236" s="367"/>
      <c r="N236" s="367"/>
      <c r="O236" s="367"/>
      <c r="P236" s="367"/>
      <c r="Q236" s="367"/>
      <c r="R236" s="367"/>
      <c r="S236" s="367"/>
      <c r="T236" s="367"/>
      <c r="U236" s="367"/>
      <c r="V236" s="367"/>
      <c r="W236" s="367"/>
      <c r="X236" s="367"/>
    </row>
    <row r="237" spans="1:2" ht="12.75">
      <c r="A237" s="35"/>
      <c r="B237" s="149"/>
    </row>
    <row r="238" spans="1:2" ht="12.75">
      <c r="A238" s="35"/>
      <c r="B238" s="149"/>
    </row>
    <row r="239" spans="1:2" ht="12.75">
      <c r="A239" s="35"/>
      <c r="B239" s="19"/>
    </row>
    <row r="240" spans="1:2" ht="12.75">
      <c r="A240" s="35"/>
      <c r="B240" s="149"/>
    </row>
    <row r="241" spans="1:2" ht="12.75">
      <c r="A241" s="35"/>
      <c r="B241" s="149"/>
    </row>
    <row r="242" spans="1:2" ht="12.75">
      <c r="A242" s="35"/>
      <c r="B242" s="149"/>
    </row>
    <row r="243" spans="1:2" ht="12.75">
      <c r="A243" s="35"/>
      <c r="B243" s="149"/>
    </row>
  </sheetData>
  <sheetProtection/>
  <hyperlinks>
    <hyperlink ref="A3" r:id="rId1" display="Kilder"/>
  </hyperlinks>
  <printOptions/>
  <pageMargins left="0.75" right="0.75" top="1" bottom="1" header="0" footer="0"/>
  <pageSetup horizontalDpi="300" verticalDpi="300" orientation="portrait" paperSize="9" r:id="rId4"/>
  <legacyDrawing r:id="rId3"/>
</worksheet>
</file>

<file path=xl/worksheets/sheet9.xml><?xml version="1.0" encoding="utf-8"?>
<worksheet xmlns="http://schemas.openxmlformats.org/spreadsheetml/2006/main" xmlns:r="http://schemas.openxmlformats.org/officeDocument/2006/relationships">
  <sheetPr>
    <tabColor theme="2" tint="-0.24997000396251678"/>
  </sheetPr>
  <dimension ref="A1:O207"/>
  <sheetViews>
    <sheetView zoomScalePageLayoutView="0" workbookViewId="0" topLeftCell="A1">
      <selection activeCell="A2" sqref="A2:B2"/>
    </sheetView>
  </sheetViews>
  <sheetFormatPr defaultColWidth="9.140625" defaultRowHeight="12.75"/>
  <cols>
    <col min="1" max="1" width="20.57421875" style="0" customWidth="1"/>
    <col min="2" max="7" width="12.140625" style="0" customWidth="1"/>
    <col min="10" max="10" width="17.57421875" style="0" hidden="1" customWidth="1"/>
    <col min="11" max="11" width="15.7109375" style="0" hidden="1" customWidth="1"/>
    <col min="12" max="12" width="13.8515625" style="0" hidden="1" customWidth="1"/>
  </cols>
  <sheetData>
    <row r="1" ht="12.75">
      <c r="A1" s="115" t="s">
        <v>433</v>
      </c>
    </row>
    <row r="2" ht="12.75">
      <c r="A2" s="314" t="s">
        <v>431</v>
      </c>
    </row>
    <row r="3" spans="1:8" ht="12.75">
      <c r="A3" s="336" t="s">
        <v>203</v>
      </c>
      <c r="F3" s="129"/>
      <c r="G3" s="129"/>
      <c r="H3" s="129"/>
    </row>
    <row r="4" spans="2:8" ht="12.75">
      <c r="B4" s="200"/>
      <c r="C4" s="200"/>
      <c r="G4" s="50"/>
      <c r="H4" s="50"/>
    </row>
    <row r="5" spans="1:15" ht="12.75">
      <c r="A5" s="354" t="s">
        <v>290</v>
      </c>
      <c r="B5" s="287"/>
      <c r="C5" s="287" t="s">
        <v>156</v>
      </c>
      <c r="D5" s="287" t="s">
        <v>156</v>
      </c>
      <c r="E5" s="287" t="s">
        <v>201</v>
      </c>
      <c r="F5" s="287" t="s">
        <v>201</v>
      </c>
      <c r="G5" s="287" t="s">
        <v>223</v>
      </c>
      <c r="I5" s="129"/>
      <c r="J5" s="129"/>
      <c r="K5" s="129"/>
      <c r="L5" s="150"/>
      <c r="M5" s="150"/>
      <c r="N5" s="14"/>
      <c r="O5" s="150"/>
    </row>
    <row r="6" spans="1:15" ht="13.5">
      <c r="A6" s="318" t="s">
        <v>240</v>
      </c>
      <c r="B6" s="289" t="s">
        <v>281</v>
      </c>
      <c r="C6" s="289">
        <v>2000</v>
      </c>
      <c r="D6" s="289">
        <v>2010</v>
      </c>
      <c r="E6" s="289" t="s">
        <v>222</v>
      </c>
      <c r="F6" s="289" t="s">
        <v>243</v>
      </c>
      <c r="G6" s="289" t="s">
        <v>289</v>
      </c>
      <c r="I6" s="129"/>
      <c r="J6" s="129"/>
      <c r="K6" s="129"/>
      <c r="L6" s="150"/>
      <c r="M6" s="150"/>
      <c r="N6" s="150"/>
      <c r="O6" s="150"/>
    </row>
    <row r="7" spans="1:15" ht="12.75">
      <c r="A7" s="321" t="s">
        <v>187</v>
      </c>
      <c r="B7" s="298">
        <v>652090</v>
      </c>
      <c r="C7" s="298">
        <v>20536000</v>
      </c>
      <c r="D7" s="293">
        <v>29121000</v>
      </c>
      <c r="E7" s="298">
        <f aca="true" t="shared" si="0" ref="E7:E38">D7-C7</f>
        <v>8585000</v>
      </c>
      <c r="F7" s="355">
        <f aca="true" t="shared" si="1" ref="F7:F38">E7/D7</f>
        <v>0.29480443666082895</v>
      </c>
      <c r="G7" s="298">
        <f aca="true" t="shared" si="2" ref="G7:G38">D7/B7</f>
        <v>44.65794598905059</v>
      </c>
      <c r="I7" s="49"/>
      <c r="J7" s="298">
        <v>652090</v>
      </c>
      <c r="K7" s="298">
        <v>20536000</v>
      </c>
      <c r="L7" s="293">
        <v>29121000</v>
      </c>
      <c r="M7" s="150"/>
      <c r="N7" s="150"/>
      <c r="O7" s="150"/>
    </row>
    <row r="8" spans="1:15" ht="12.75">
      <c r="A8" s="323" t="s">
        <v>35</v>
      </c>
      <c r="B8" s="298">
        <v>28748</v>
      </c>
      <c r="C8" s="298">
        <v>3068000</v>
      </c>
      <c r="D8" s="293">
        <v>2987000</v>
      </c>
      <c r="E8" s="298">
        <f t="shared" si="0"/>
        <v>-81000</v>
      </c>
      <c r="F8" s="355">
        <f t="shared" si="1"/>
        <v>-0.02711750920656177</v>
      </c>
      <c r="G8" s="298">
        <f t="shared" si="2"/>
        <v>103.90288020036176</v>
      </c>
      <c r="I8" s="49"/>
      <c r="J8" s="298">
        <v>28748</v>
      </c>
      <c r="K8" s="298">
        <v>3068000</v>
      </c>
      <c r="L8" s="293">
        <v>2987000</v>
      </c>
      <c r="M8" s="150"/>
      <c r="N8" s="150"/>
      <c r="O8" s="150"/>
    </row>
    <row r="9" spans="1:15" ht="12.75">
      <c r="A9" s="323" t="s">
        <v>51</v>
      </c>
      <c r="B9" s="298">
        <v>2381741</v>
      </c>
      <c r="C9" s="298">
        <v>30506000</v>
      </c>
      <c r="D9" s="293">
        <v>34586000</v>
      </c>
      <c r="E9" s="298">
        <f t="shared" si="0"/>
        <v>4080000</v>
      </c>
      <c r="F9" s="355">
        <f t="shared" si="1"/>
        <v>0.11796680737870814</v>
      </c>
      <c r="G9" s="298">
        <f t="shared" si="2"/>
        <v>14.52131025161846</v>
      </c>
      <c r="I9" s="49"/>
      <c r="J9" s="298">
        <v>2381741</v>
      </c>
      <c r="K9" s="298">
        <v>30506000</v>
      </c>
      <c r="L9" s="293">
        <v>34586000</v>
      </c>
      <c r="M9" s="150"/>
      <c r="N9" s="150"/>
      <c r="O9" s="150"/>
    </row>
    <row r="10" spans="1:15" ht="12.75">
      <c r="A10" s="323" t="s">
        <v>152</v>
      </c>
      <c r="B10" s="298">
        <v>1246700</v>
      </c>
      <c r="C10" s="298">
        <v>14280000</v>
      </c>
      <c r="D10" s="293">
        <v>13068000</v>
      </c>
      <c r="E10" s="298">
        <f t="shared" si="0"/>
        <v>-1212000</v>
      </c>
      <c r="F10" s="355">
        <f t="shared" si="1"/>
        <v>-0.09274563820018365</v>
      </c>
      <c r="G10" s="298">
        <f t="shared" si="2"/>
        <v>10.482072671853693</v>
      </c>
      <c r="I10" s="49"/>
      <c r="J10" s="298">
        <v>1246700</v>
      </c>
      <c r="K10" s="298">
        <v>14280000</v>
      </c>
      <c r="L10" s="293">
        <v>13068000</v>
      </c>
      <c r="M10" s="150"/>
      <c r="N10" s="150"/>
      <c r="O10" s="150"/>
    </row>
    <row r="11" spans="1:15" ht="12.75">
      <c r="A11" s="323" t="s">
        <v>39</v>
      </c>
      <c r="B11" s="298">
        <v>442</v>
      </c>
      <c r="C11" s="298">
        <v>77000</v>
      </c>
      <c r="D11" s="293">
        <v>87000</v>
      </c>
      <c r="E11" s="298">
        <f t="shared" si="0"/>
        <v>10000</v>
      </c>
      <c r="F11" s="355">
        <f t="shared" si="1"/>
        <v>0.11494252873563218</v>
      </c>
      <c r="G11" s="298">
        <f t="shared" si="2"/>
        <v>196.83257918552036</v>
      </c>
      <c r="I11" s="49"/>
      <c r="J11" s="298">
        <v>442</v>
      </c>
      <c r="K11" s="298">
        <v>77000</v>
      </c>
      <c r="L11" s="293">
        <v>87000</v>
      </c>
      <c r="M11" s="150"/>
      <c r="N11" s="150"/>
      <c r="O11" s="150"/>
    </row>
    <row r="12" spans="1:15" ht="12.75">
      <c r="A12" s="323" t="s">
        <v>75</v>
      </c>
      <c r="B12" s="298">
        <v>2780400</v>
      </c>
      <c r="C12" s="298">
        <v>36939000</v>
      </c>
      <c r="D12" s="293">
        <v>41343000</v>
      </c>
      <c r="E12" s="298">
        <f t="shared" si="0"/>
        <v>4404000</v>
      </c>
      <c r="F12" s="355">
        <f t="shared" si="1"/>
        <v>0.10652347434874102</v>
      </c>
      <c r="G12" s="298">
        <f t="shared" si="2"/>
        <v>14.869443245576177</v>
      </c>
      <c r="I12" s="49"/>
      <c r="J12" s="298">
        <v>2780400</v>
      </c>
      <c r="K12" s="298">
        <v>36939000</v>
      </c>
      <c r="L12" s="293">
        <v>41343000</v>
      </c>
      <c r="M12" s="150"/>
      <c r="N12" s="150"/>
      <c r="O12" s="150"/>
    </row>
    <row r="13" spans="1:15" ht="12.75">
      <c r="A13" s="323" t="s">
        <v>80</v>
      </c>
      <c r="B13" s="298">
        <v>29743</v>
      </c>
      <c r="C13" s="298">
        <v>3076000</v>
      </c>
      <c r="D13" s="293">
        <v>2967000</v>
      </c>
      <c r="E13" s="298">
        <f t="shared" si="0"/>
        <v>-109000</v>
      </c>
      <c r="F13" s="355">
        <f t="shared" si="1"/>
        <v>-0.03673744523087293</v>
      </c>
      <c r="G13" s="298">
        <f t="shared" si="2"/>
        <v>99.75456409911575</v>
      </c>
      <c r="I13" s="49"/>
      <c r="J13" s="298">
        <v>29743</v>
      </c>
      <c r="K13" s="298">
        <v>3076000</v>
      </c>
      <c r="L13" s="293">
        <v>2967000</v>
      </c>
      <c r="M13" s="150"/>
      <c r="N13" s="150"/>
      <c r="O13" s="150"/>
    </row>
    <row r="14" spans="1:15" ht="12.75">
      <c r="A14" s="321" t="s">
        <v>160</v>
      </c>
      <c r="B14" s="298">
        <v>140</v>
      </c>
      <c r="C14" s="298">
        <v>91000</v>
      </c>
      <c r="D14" s="293">
        <v>105000</v>
      </c>
      <c r="E14" s="298">
        <f t="shared" si="0"/>
        <v>14000</v>
      </c>
      <c r="F14" s="355">
        <f t="shared" si="1"/>
        <v>0.13333333333333333</v>
      </c>
      <c r="G14" s="298">
        <f t="shared" si="2"/>
        <v>750</v>
      </c>
      <c r="I14" s="49"/>
      <c r="J14" s="298">
        <v>140</v>
      </c>
      <c r="K14" s="298">
        <v>91000</v>
      </c>
      <c r="L14" s="293">
        <v>105000</v>
      </c>
      <c r="M14" s="150"/>
      <c r="N14" s="150"/>
      <c r="O14" s="150"/>
    </row>
    <row r="15" spans="1:15" ht="12.75">
      <c r="A15" s="323" t="s">
        <v>59</v>
      </c>
      <c r="B15" s="298">
        <v>7692024</v>
      </c>
      <c r="C15" s="298">
        <v>19171000</v>
      </c>
      <c r="D15" s="293">
        <v>21516000</v>
      </c>
      <c r="E15" s="298">
        <f t="shared" si="0"/>
        <v>2345000</v>
      </c>
      <c r="F15" s="355">
        <f t="shared" si="1"/>
        <v>0.10898865960215653</v>
      </c>
      <c r="G15" s="298">
        <f t="shared" si="2"/>
        <v>2.797183160114945</v>
      </c>
      <c r="I15" s="49"/>
      <c r="J15" s="298">
        <v>7692024</v>
      </c>
      <c r="K15" s="298">
        <v>19171000</v>
      </c>
      <c r="L15" s="293">
        <v>21516000</v>
      </c>
      <c r="M15" s="150"/>
      <c r="N15" s="150"/>
      <c r="O15" s="150"/>
    </row>
    <row r="16" spans="1:15" ht="12.75">
      <c r="A16" s="323" t="s">
        <v>23</v>
      </c>
      <c r="B16" s="298">
        <v>83871</v>
      </c>
      <c r="C16" s="298">
        <v>8005000</v>
      </c>
      <c r="D16" s="293">
        <v>8214000</v>
      </c>
      <c r="E16" s="298">
        <f t="shared" si="0"/>
        <v>209000</v>
      </c>
      <c r="F16" s="355">
        <f t="shared" si="1"/>
        <v>0.02544436328220112</v>
      </c>
      <c r="G16" s="298">
        <f t="shared" si="2"/>
        <v>97.93611617841685</v>
      </c>
      <c r="I16" s="49"/>
      <c r="J16" s="298">
        <v>83871</v>
      </c>
      <c r="K16" s="298">
        <v>8005000</v>
      </c>
      <c r="L16" s="293">
        <v>8214000</v>
      </c>
      <c r="M16" s="150"/>
      <c r="N16" s="150"/>
      <c r="O16" s="150"/>
    </row>
    <row r="17" spans="1:15" ht="12.75">
      <c r="A17" s="323" t="s">
        <v>87</v>
      </c>
      <c r="B17" s="298">
        <v>86600</v>
      </c>
      <c r="C17" s="298">
        <v>8121000</v>
      </c>
      <c r="D17" s="293">
        <v>8304000</v>
      </c>
      <c r="E17" s="298">
        <f t="shared" si="0"/>
        <v>183000</v>
      </c>
      <c r="F17" s="355">
        <f t="shared" si="1"/>
        <v>0.02203757225433526</v>
      </c>
      <c r="G17" s="298">
        <f t="shared" si="2"/>
        <v>95.8891454965358</v>
      </c>
      <c r="I17" s="49"/>
      <c r="J17" s="298">
        <v>86600</v>
      </c>
      <c r="K17" s="298">
        <v>8121000</v>
      </c>
      <c r="L17" s="293">
        <v>8304000</v>
      </c>
      <c r="M17" s="150"/>
      <c r="N17" s="150"/>
      <c r="O17" s="150"/>
    </row>
    <row r="18" spans="1:15" ht="12.75">
      <c r="A18" s="321" t="s">
        <v>167</v>
      </c>
      <c r="B18" s="298">
        <v>13943</v>
      </c>
      <c r="C18" s="298">
        <v>305000</v>
      </c>
      <c r="D18" s="293">
        <v>310000</v>
      </c>
      <c r="E18" s="298">
        <f t="shared" si="0"/>
        <v>5000</v>
      </c>
      <c r="F18" s="355">
        <f t="shared" si="1"/>
        <v>0.016129032258064516</v>
      </c>
      <c r="G18" s="298">
        <f t="shared" si="2"/>
        <v>22.2333787563652</v>
      </c>
      <c r="I18" s="49"/>
      <c r="J18" s="298">
        <v>13943</v>
      </c>
      <c r="K18" s="298">
        <v>305000</v>
      </c>
      <c r="L18" s="293">
        <v>310000</v>
      </c>
      <c r="M18" s="150"/>
      <c r="N18" s="150"/>
      <c r="O18" s="150"/>
    </row>
    <row r="19" spans="1:15" ht="12.75">
      <c r="A19" s="323" t="s">
        <v>0</v>
      </c>
      <c r="B19" s="298">
        <v>741</v>
      </c>
      <c r="C19" s="298">
        <v>650000</v>
      </c>
      <c r="D19" s="293">
        <v>738000</v>
      </c>
      <c r="E19" s="298">
        <f t="shared" si="0"/>
        <v>88000</v>
      </c>
      <c r="F19" s="355">
        <f t="shared" si="1"/>
        <v>0.11924119241192412</v>
      </c>
      <c r="G19" s="298">
        <f t="shared" si="2"/>
        <v>995.9514170040486</v>
      </c>
      <c r="I19" s="49"/>
      <c r="J19" s="298">
        <v>741</v>
      </c>
      <c r="K19" s="298">
        <v>650000</v>
      </c>
      <c r="L19" s="293">
        <v>738000</v>
      </c>
      <c r="M19" s="150"/>
      <c r="N19" s="150"/>
      <c r="O19" s="150"/>
    </row>
    <row r="20" spans="1:15" ht="12.75">
      <c r="A20" s="323" t="s">
        <v>133</v>
      </c>
      <c r="B20" s="298">
        <v>143998</v>
      </c>
      <c r="C20" s="298">
        <v>140767000</v>
      </c>
      <c r="D20" s="293">
        <v>156118000</v>
      </c>
      <c r="E20" s="298">
        <f t="shared" si="0"/>
        <v>15351000</v>
      </c>
      <c r="F20" s="355">
        <f t="shared" si="1"/>
        <v>0.09832946873518748</v>
      </c>
      <c r="G20" s="298">
        <f t="shared" si="2"/>
        <v>1084.1678356643843</v>
      </c>
      <c r="I20" s="49"/>
      <c r="J20" s="298">
        <v>143998</v>
      </c>
      <c r="K20" s="298">
        <v>140767000</v>
      </c>
      <c r="L20" s="293">
        <v>156118000</v>
      </c>
      <c r="M20" s="150"/>
      <c r="N20" s="151"/>
      <c r="O20" s="150"/>
    </row>
    <row r="21" spans="1:15" ht="12.75">
      <c r="A21" s="321" t="s">
        <v>170</v>
      </c>
      <c r="B21" s="298">
        <v>430</v>
      </c>
      <c r="C21" s="298">
        <v>252000</v>
      </c>
      <c r="D21" s="293">
        <v>286000</v>
      </c>
      <c r="E21" s="298">
        <f t="shared" si="0"/>
        <v>34000</v>
      </c>
      <c r="F21" s="355">
        <f t="shared" si="1"/>
        <v>0.11888111888111888</v>
      </c>
      <c r="G21" s="298">
        <f t="shared" si="2"/>
        <v>665.1162790697674</v>
      </c>
      <c r="I21" s="49"/>
      <c r="J21" s="298">
        <v>430</v>
      </c>
      <c r="K21" s="298">
        <v>252000</v>
      </c>
      <c r="L21" s="293">
        <v>286000</v>
      </c>
      <c r="M21" s="150"/>
      <c r="N21" s="151"/>
      <c r="O21" s="150"/>
    </row>
    <row r="22" spans="1:15" ht="12.75">
      <c r="A22" s="323" t="s">
        <v>61</v>
      </c>
      <c r="B22" s="298">
        <v>208000</v>
      </c>
      <c r="C22" s="298">
        <v>10054000</v>
      </c>
      <c r="D22" s="293">
        <v>9613000</v>
      </c>
      <c r="E22" s="298">
        <f t="shared" si="0"/>
        <v>-441000</v>
      </c>
      <c r="F22" s="355">
        <f t="shared" si="1"/>
        <v>-0.045875377093519194</v>
      </c>
      <c r="G22" s="298">
        <f t="shared" si="2"/>
        <v>46.21634615384615</v>
      </c>
      <c r="I22" s="49"/>
      <c r="J22" s="298">
        <v>208000</v>
      </c>
      <c r="K22" s="298">
        <v>10054000</v>
      </c>
      <c r="L22" s="293">
        <v>9613000</v>
      </c>
      <c r="M22" s="150"/>
      <c r="N22" s="151"/>
      <c r="O22" s="150"/>
    </row>
    <row r="23" spans="1:15" ht="12.75">
      <c r="A23" s="323" t="s">
        <v>89</v>
      </c>
      <c r="B23" s="298">
        <v>30528</v>
      </c>
      <c r="C23" s="298">
        <v>10193000</v>
      </c>
      <c r="D23" s="293">
        <v>10423000</v>
      </c>
      <c r="E23" s="298">
        <f t="shared" si="0"/>
        <v>230000</v>
      </c>
      <c r="F23" s="355">
        <f t="shared" si="1"/>
        <v>0.02206658351722153</v>
      </c>
      <c r="G23" s="298">
        <f t="shared" si="2"/>
        <v>341.4242662473795</v>
      </c>
      <c r="I23" s="49"/>
      <c r="J23" s="298">
        <v>30528</v>
      </c>
      <c r="K23" s="298">
        <v>10193000</v>
      </c>
      <c r="L23" s="293">
        <v>10423000</v>
      </c>
      <c r="M23" s="150"/>
      <c r="N23" s="151"/>
      <c r="O23" s="150"/>
    </row>
    <row r="24" spans="1:15" ht="12.75">
      <c r="A24" s="323" t="s">
        <v>38</v>
      </c>
      <c r="B24" s="298">
        <v>22966</v>
      </c>
      <c r="C24" s="298">
        <v>252000</v>
      </c>
      <c r="D24" s="293">
        <v>315000</v>
      </c>
      <c r="E24" s="298">
        <f t="shared" si="0"/>
        <v>63000</v>
      </c>
      <c r="F24" s="355">
        <f t="shared" si="1"/>
        <v>0.2</v>
      </c>
      <c r="G24" s="298">
        <f t="shared" si="2"/>
        <v>13.715927893407645</v>
      </c>
      <c r="I24" s="49"/>
      <c r="J24" s="298">
        <v>22966</v>
      </c>
      <c r="K24" s="298">
        <v>252000</v>
      </c>
      <c r="L24" s="293">
        <v>315000</v>
      </c>
      <c r="M24" s="150"/>
      <c r="N24" s="151"/>
      <c r="O24" s="150"/>
    </row>
    <row r="25" spans="1:15" ht="12.75">
      <c r="A25" s="323" t="s">
        <v>147</v>
      </c>
      <c r="B25" s="298">
        <v>112622</v>
      </c>
      <c r="C25" s="298">
        <v>6659000</v>
      </c>
      <c r="D25" s="293">
        <v>9056000</v>
      </c>
      <c r="E25" s="298">
        <f t="shared" si="0"/>
        <v>2397000</v>
      </c>
      <c r="F25" s="355">
        <f t="shared" si="1"/>
        <v>0.2646863957597173</v>
      </c>
      <c r="G25" s="298">
        <f t="shared" si="2"/>
        <v>80.41057697430342</v>
      </c>
      <c r="I25" s="49"/>
      <c r="J25" s="298">
        <v>112622</v>
      </c>
      <c r="K25" s="298">
        <v>6659000</v>
      </c>
      <c r="L25" s="293">
        <v>9056000</v>
      </c>
      <c r="M25" s="150"/>
      <c r="N25" s="151"/>
      <c r="O25" s="150"/>
    </row>
    <row r="26" spans="1:15" ht="12.75">
      <c r="A26" s="321" t="s">
        <v>165</v>
      </c>
      <c r="B26" s="298">
        <v>53</v>
      </c>
      <c r="C26" s="298">
        <v>63000</v>
      </c>
      <c r="D26" s="293">
        <v>68000</v>
      </c>
      <c r="E26" s="298">
        <f t="shared" si="0"/>
        <v>5000</v>
      </c>
      <c r="F26" s="355">
        <f t="shared" si="1"/>
        <v>0.07352941176470588</v>
      </c>
      <c r="G26" s="298">
        <f t="shared" si="2"/>
        <v>1283.0188679245282</v>
      </c>
      <c r="I26" s="49"/>
      <c r="J26" s="298">
        <v>53</v>
      </c>
      <c r="K26" s="298">
        <v>63000</v>
      </c>
      <c r="L26" s="293">
        <v>68000</v>
      </c>
      <c r="M26" s="150"/>
      <c r="N26" s="151"/>
      <c r="O26" s="150"/>
    </row>
    <row r="27" spans="1:15" ht="12.75">
      <c r="A27" s="323" t="s">
        <v>50</v>
      </c>
      <c r="B27" s="298">
        <v>38394</v>
      </c>
      <c r="C27" s="298">
        <v>561000</v>
      </c>
      <c r="D27" s="293">
        <v>700000</v>
      </c>
      <c r="E27" s="298">
        <f t="shared" si="0"/>
        <v>139000</v>
      </c>
      <c r="F27" s="355">
        <f t="shared" si="1"/>
        <v>0.19857142857142857</v>
      </c>
      <c r="G27" s="298">
        <f t="shared" si="2"/>
        <v>18.232015419075896</v>
      </c>
      <c r="I27" s="49"/>
      <c r="J27" s="298">
        <v>38394</v>
      </c>
      <c r="K27" s="298">
        <v>561000</v>
      </c>
      <c r="L27" s="293">
        <v>700000</v>
      </c>
      <c r="M27" s="150"/>
      <c r="N27" s="151"/>
      <c r="O27" s="150"/>
    </row>
    <row r="28" spans="1:15" ht="12.75">
      <c r="A28" s="323" t="s">
        <v>131</v>
      </c>
      <c r="B28" s="298">
        <v>1098581</v>
      </c>
      <c r="C28" s="298">
        <v>8317000</v>
      </c>
      <c r="D28" s="293">
        <v>9947000</v>
      </c>
      <c r="E28" s="298">
        <f t="shared" si="0"/>
        <v>1630000</v>
      </c>
      <c r="F28" s="355">
        <f t="shared" si="1"/>
        <v>0.16386850306625114</v>
      </c>
      <c r="G28" s="298">
        <f t="shared" si="2"/>
        <v>9.054407458348543</v>
      </c>
      <c r="I28" s="49"/>
      <c r="J28" s="298">
        <v>1098581</v>
      </c>
      <c r="K28" s="298">
        <v>8317000</v>
      </c>
      <c r="L28" s="293">
        <v>9947000</v>
      </c>
      <c r="M28" s="150"/>
      <c r="N28" s="151"/>
      <c r="O28" s="150"/>
    </row>
    <row r="29" spans="1:15" ht="12.75">
      <c r="A29" s="323" t="s">
        <v>1</v>
      </c>
      <c r="B29" s="298">
        <v>51197</v>
      </c>
      <c r="C29" s="298">
        <v>3694000</v>
      </c>
      <c r="D29" s="293">
        <v>4622000</v>
      </c>
      <c r="E29" s="298">
        <f t="shared" si="0"/>
        <v>928000</v>
      </c>
      <c r="F29" s="355">
        <f t="shared" si="1"/>
        <v>0.2007788836001731</v>
      </c>
      <c r="G29" s="298">
        <f t="shared" si="2"/>
        <v>90.27872726917593</v>
      </c>
      <c r="I29" s="49"/>
      <c r="J29" s="298">
        <v>51197</v>
      </c>
      <c r="K29" s="298">
        <v>3694000</v>
      </c>
      <c r="L29" s="293">
        <v>4622000</v>
      </c>
      <c r="M29" s="150"/>
      <c r="N29" s="151"/>
      <c r="O29" s="150"/>
    </row>
    <row r="30" spans="1:15" ht="12.75">
      <c r="A30" s="323" t="s">
        <v>142</v>
      </c>
      <c r="B30" s="298">
        <v>582000</v>
      </c>
      <c r="C30" s="298">
        <v>1723000</v>
      </c>
      <c r="D30" s="293">
        <v>2029000</v>
      </c>
      <c r="E30" s="298">
        <f t="shared" si="0"/>
        <v>306000</v>
      </c>
      <c r="F30" s="355">
        <f t="shared" si="1"/>
        <v>0.1508132084770823</v>
      </c>
      <c r="G30" s="298">
        <f t="shared" si="2"/>
        <v>3.486254295532646</v>
      </c>
      <c r="I30" s="49"/>
      <c r="J30" s="298">
        <v>582000</v>
      </c>
      <c r="K30" s="298">
        <v>1723000</v>
      </c>
      <c r="L30" s="293">
        <v>2029000</v>
      </c>
      <c r="M30" s="150"/>
      <c r="N30" s="151"/>
      <c r="O30" s="150"/>
    </row>
    <row r="31" spans="1:15" ht="12.75">
      <c r="A31" s="323" t="s">
        <v>68</v>
      </c>
      <c r="B31" s="298">
        <v>8514877</v>
      </c>
      <c r="C31" s="298">
        <v>174174000</v>
      </c>
      <c r="D31" s="293">
        <v>201103000</v>
      </c>
      <c r="E31" s="298">
        <f t="shared" si="0"/>
        <v>26929000</v>
      </c>
      <c r="F31" s="355">
        <f t="shared" si="1"/>
        <v>0.13390650562149745</v>
      </c>
      <c r="G31" s="298">
        <f t="shared" si="2"/>
        <v>23.61783969398501</v>
      </c>
      <c r="I31" s="49"/>
      <c r="J31" s="298">
        <v>8514877</v>
      </c>
      <c r="K31" s="298">
        <v>174174000</v>
      </c>
      <c r="L31" s="293">
        <v>201103000</v>
      </c>
      <c r="M31" s="150"/>
      <c r="N31" s="151"/>
      <c r="O31" s="150"/>
    </row>
    <row r="32" spans="1:15" ht="12.75">
      <c r="A32" s="323" t="s">
        <v>269</v>
      </c>
      <c r="B32" s="298">
        <v>5765</v>
      </c>
      <c r="C32" s="298">
        <v>333000</v>
      </c>
      <c r="D32" s="293">
        <v>395000</v>
      </c>
      <c r="E32" s="298">
        <f t="shared" si="0"/>
        <v>62000</v>
      </c>
      <c r="F32" s="355">
        <f t="shared" si="1"/>
        <v>0.1569620253164557</v>
      </c>
      <c r="G32" s="298">
        <f t="shared" si="2"/>
        <v>68.51691240242845</v>
      </c>
      <c r="I32" s="49"/>
      <c r="J32" s="298">
        <v>5765</v>
      </c>
      <c r="K32" s="298">
        <v>333000</v>
      </c>
      <c r="L32" s="293">
        <v>395000</v>
      </c>
      <c r="M32" s="150"/>
      <c r="N32" s="151"/>
      <c r="O32" s="150"/>
    </row>
    <row r="33" spans="1:15" ht="12.75">
      <c r="A33" s="323" t="s">
        <v>71</v>
      </c>
      <c r="B33" s="298">
        <v>110879</v>
      </c>
      <c r="C33" s="298">
        <v>8006000</v>
      </c>
      <c r="D33" s="293">
        <v>7149000</v>
      </c>
      <c r="E33" s="298">
        <f t="shared" si="0"/>
        <v>-857000</v>
      </c>
      <c r="F33" s="355">
        <f t="shared" si="1"/>
        <v>-0.11987690586095957</v>
      </c>
      <c r="G33" s="298">
        <f t="shared" si="2"/>
        <v>64.47568971581634</v>
      </c>
      <c r="I33" s="49"/>
      <c r="J33" s="298">
        <v>110879</v>
      </c>
      <c r="K33" s="298">
        <v>8006000</v>
      </c>
      <c r="L33" s="293">
        <v>7149000</v>
      </c>
      <c r="M33" s="150"/>
      <c r="N33" s="151"/>
      <c r="O33" s="150"/>
    </row>
    <row r="34" spans="1:15" ht="12.75">
      <c r="A34" s="323" t="s">
        <v>123</v>
      </c>
      <c r="B34" s="298">
        <v>274222</v>
      </c>
      <c r="C34" s="298">
        <v>11676000</v>
      </c>
      <c r="D34" s="293">
        <v>16242000</v>
      </c>
      <c r="E34" s="298">
        <f t="shared" si="0"/>
        <v>4566000</v>
      </c>
      <c r="F34" s="355">
        <f t="shared" si="1"/>
        <v>0.2811230144070927</v>
      </c>
      <c r="G34" s="298">
        <f t="shared" si="2"/>
        <v>59.22938349220704</v>
      </c>
      <c r="I34" s="49"/>
      <c r="J34" s="298">
        <v>274222</v>
      </c>
      <c r="K34" s="298">
        <v>11676000</v>
      </c>
      <c r="L34" s="293">
        <v>16242000</v>
      </c>
      <c r="M34" s="150"/>
      <c r="N34" s="151"/>
      <c r="O34" s="150"/>
    </row>
    <row r="35" spans="1:15" ht="12.75">
      <c r="A35" s="323" t="s">
        <v>134</v>
      </c>
      <c r="B35" s="298">
        <v>27834</v>
      </c>
      <c r="C35" s="298">
        <v>6473000</v>
      </c>
      <c r="D35" s="293">
        <v>9863000</v>
      </c>
      <c r="E35" s="298">
        <f t="shared" si="0"/>
        <v>3390000</v>
      </c>
      <c r="F35" s="355">
        <f t="shared" si="1"/>
        <v>0.3437088107066815</v>
      </c>
      <c r="G35" s="298">
        <f t="shared" si="2"/>
        <v>354.35079399295824</v>
      </c>
      <c r="I35" s="49"/>
      <c r="J35" s="298">
        <v>27834</v>
      </c>
      <c r="K35" s="298">
        <v>6473000</v>
      </c>
      <c r="L35" s="293">
        <v>9863000</v>
      </c>
      <c r="M35" s="150"/>
      <c r="N35" s="151"/>
      <c r="O35" s="150"/>
    </row>
    <row r="36" spans="1:15" ht="12.75">
      <c r="A36" s="323" t="s">
        <v>141</v>
      </c>
      <c r="B36" s="298">
        <v>181035</v>
      </c>
      <c r="C36" s="298">
        <v>12760000</v>
      </c>
      <c r="D36" s="293">
        <v>14454000</v>
      </c>
      <c r="E36" s="298">
        <f t="shared" si="0"/>
        <v>1694000</v>
      </c>
      <c r="F36" s="355">
        <f t="shared" si="1"/>
        <v>0.1171993911719939</v>
      </c>
      <c r="G36" s="298">
        <f t="shared" si="2"/>
        <v>79.8409147402436</v>
      </c>
      <c r="I36" s="49"/>
      <c r="J36" s="298">
        <v>181035</v>
      </c>
      <c r="K36" s="298">
        <v>12760000</v>
      </c>
      <c r="L36" s="293">
        <v>14454000</v>
      </c>
      <c r="M36" s="150"/>
      <c r="N36" s="151"/>
      <c r="O36" s="150"/>
    </row>
    <row r="37" spans="1:15" ht="12.75">
      <c r="A37" s="323" t="s">
        <v>127</v>
      </c>
      <c r="B37" s="298">
        <v>475442</v>
      </c>
      <c r="C37" s="298">
        <v>15865000</v>
      </c>
      <c r="D37" s="293">
        <v>19294000</v>
      </c>
      <c r="E37" s="298">
        <f t="shared" si="0"/>
        <v>3429000</v>
      </c>
      <c r="F37" s="355">
        <f t="shared" si="1"/>
        <v>0.17772364465636986</v>
      </c>
      <c r="G37" s="298">
        <f t="shared" si="2"/>
        <v>40.5811855073805</v>
      </c>
      <c r="I37" s="49"/>
      <c r="J37" s="298">
        <v>475442</v>
      </c>
      <c r="K37" s="298">
        <v>15865000</v>
      </c>
      <c r="L37" s="293">
        <v>19294000</v>
      </c>
      <c r="M37" s="150"/>
      <c r="N37" s="151"/>
      <c r="O37" s="150"/>
    </row>
    <row r="38" spans="1:15" ht="12.75">
      <c r="A38" s="323" t="s">
        <v>2</v>
      </c>
      <c r="B38" s="298">
        <v>9984670</v>
      </c>
      <c r="C38" s="298">
        <v>30687000</v>
      </c>
      <c r="D38" s="293">
        <v>33760000</v>
      </c>
      <c r="E38" s="298">
        <f t="shared" si="0"/>
        <v>3073000</v>
      </c>
      <c r="F38" s="355">
        <f t="shared" si="1"/>
        <v>0.09102488151658768</v>
      </c>
      <c r="G38" s="298">
        <f t="shared" si="2"/>
        <v>3.3811833540818075</v>
      </c>
      <c r="I38" s="49"/>
      <c r="J38" s="298">
        <v>9984670</v>
      </c>
      <c r="K38" s="298">
        <v>30687000</v>
      </c>
      <c r="L38" s="293">
        <v>33760000</v>
      </c>
      <c r="M38" s="150"/>
      <c r="N38" s="151"/>
      <c r="O38" s="150"/>
    </row>
    <row r="39" spans="1:15" ht="12.75">
      <c r="A39" s="321" t="s">
        <v>180</v>
      </c>
      <c r="B39" s="298">
        <v>4033</v>
      </c>
      <c r="C39" s="298">
        <v>439000</v>
      </c>
      <c r="D39" s="293">
        <v>509000</v>
      </c>
      <c r="E39" s="298">
        <f aca="true" t="shared" si="3" ref="E39:E70">D39-C39</f>
        <v>70000</v>
      </c>
      <c r="F39" s="355">
        <f aca="true" t="shared" si="4" ref="F39:F70">E39/D39</f>
        <v>0.137524557956778</v>
      </c>
      <c r="G39" s="298">
        <f aca="true" t="shared" si="5" ref="G39:G70">D39/B39</f>
        <v>126.20877758492438</v>
      </c>
      <c r="I39" s="49"/>
      <c r="J39" s="298">
        <v>4033</v>
      </c>
      <c r="K39" s="298">
        <v>439000</v>
      </c>
      <c r="L39" s="293">
        <v>509000</v>
      </c>
      <c r="M39" s="150"/>
      <c r="N39" s="151"/>
      <c r="O39" s="150"/>
    </row>
    <row r="40" spans="1:15" ht="12.75">
      <c r="A40" s="321" t="s">
        <v>163</v>
      </c>
      <c r="B40" s="298">
        <v>260</v>
      </c>
      <c r="C40" s="298">
        <v>40000</v>
      </c>
      <c r="D40" s="293">
        <v>50000</v>
      </c>
      <c r="E40" s="298">
        <f t="shared" si="3"/>
        <v>10000</v>
      </c>
      <c r="F40" s="355">
        <f t="shared" si="4"/>
        <v>0.2</v>
      </c>
      <c r="G40" s="298">
        <f t="shared" si="5"/>
        <v>192.30769230769232</v>
      </c>
      <c r="I40" s="49"/>
      <c r="J40" s="298">
        <v>260</v>
      </c>
      <c r="K40" s="298">
        <v>40000</v>
      </c>
      <c r="L40" s="293">
        <v>50000</v>
      </c>
      <c r="M40" s="150"/>
      <c r="N40" s="151"/>
      <c r="O40" s="150"/>
    </row>
    <row r="41" spans="1:15" ht="12.75">
      <c r="A41" s="323" t="s">
        <v>154</v>
      </c>
      <c r="B41" s="298">
        <v>622984</v>
      </c>
      <c r="C41" s="298">
        <v>3746000</v>
      </c>
      <c r="D41" s="293">
        <v>4845000</v>
      </c>
      <c r="E41" s="298">
        <f t="shared" si="3"/>
        <v>1099000</v>
      </c>
      <c r="F41" s="355">
        <f t="shared" si="4"/>
        <v>0.22683178534571724</v>
      </c>
      <c r="G41" s="298">
        <f t="shared" si="5"/>
        <v>7.777085767852786</v>
      </c>
      <c r="I41" s="49"/>
      <c r="J41" s="298">
        <v>622984</v>
      </c>
      <c r="K41" s="298">
        <v>3746000</v>
      </c>
      <c r="L41" s="293">
        <v>4845000</v>
      </c>
      <c r="M41" s="150"/>
      <c r="N41" s="151"/>
      <c r="O41" s="150"/>
    </row>
    <row r="42" spans="1:15" ht="12.75">
      <c r="A42" s="323" t="s">
        <v>144</v>
      </c>
      <c r="B42" s="298">
        <v>1284000</v>
      </c>
      <c r="C42" s="298">
        <v>8402000</v>
      </c>
      <c r="D42" s="293">
        <v>10543000</v>
      </c>
      <c r="E42" s="298">
        <f t="shared" si="3"/>
        <v>2141000</v>
      </c>
      <c r="F42" s="355">
        <f t="shared" si="4"/>
        <v>0.20307312909039174</v>
      </c>
      <c r="G42" s="298">
        <f t="shared" si="5"/>
        <v>8.211059190031152</v>
      </c>
      <c r="I42" s="49"/>
      <c r="J42" s="298">
        <v>1284000</v>
      </c>
      <c r="K42" s="298">
        <v>8402000</v>
      </c>
      <c r="L42" s="293">
        <v>10543000</v>
      </c>
      <c r="M42" s="150"/>
      <c r="N42" s="151"/>
      <c r="O42" s="150"/>
    </row>
    <row r="43" spans="1:15" ht="12.75">
      <c r="A43" s="323" t="s">
        <v>29</v>
      </c>
      <c r="B43" s="298">
        <v>756102</v>
      </c>
      <c r="C43" s="298">
        <v>15419000</v>
      </c>
      <c r="D43" s="293">
        <v>16746000</v>
      </c>
      <c r="E43" s="298">
        <f t="shared" si="3"/>
        <v>1327000</v>
      </c>
      <c r="F43" s="355">
        <f t="shared" si="4"/>
        <v>0.07924280425176161</v>
      </c>
      <c r="G43" s="298">
        <f t="shared" si="5"/>
        <v>22.147805454819586</v>
      </c>
      <c r="I43" s="49"/>
      <c r="J43" s="298">
        <v>756102</v>
      </c>
      <c r="K43" s="298">
        <v>15419000</v>
      </c>
      <c r="L43" s="293">
        <v>16746000</v>
      </c>
      <c r="M43" s="150"/>
      <c r="N43" s="151"/>
      <c r="O43" s="150"/>
    </row>
    <row r="44" spans="1:15" ht="12.75">
      <c r="A44" s="323" t="s">
        <v>117</v>
      </c>
      <c r="B44" s="298">
        <v>9598094</v>
      </c>
      <c r="C44" s="298">
        <v>1266954000</v>
      </c>
      <c r="D44" s="293">
        <v>1330141000</v>
      </c>
      <c r="E44" s="298">
        <f t="shared" si="3"/>
        <v>63187000</v>
      </c>
      <c r="F44" s="355">
        <f t="shared" si="4"/>
        <v>0.047503986419484855</v>
      </c>
      <c r="G44" s="298">
        <f t="shared" si="5"/>
        <v>138.58386883895906</v>
      </c>
      <c r="I44" s="49"/>
      <c r="J44" s="298">
        <v>9598094</v>
      </c>
      <c r="K44" s="298">
        <v>1266954000</v>
      </c>
      <c r="L44" s="293">
        <v>1330141000</v>
      </c>
      <c r="M44" s="150"/>
      <c r="N44" s="151"/>
      <c r="O44" s="150"/>
    </row>
    <row r="45" spans="1:15" ht="12.75">
      <c r="A45" s="321" t="s">
        <v>189</v>
      </c>
      <c r="B45" s="298">
        <v>1104</v>
      </c>
      <c r="C45" s="298">
        <v>6667000</v>
      </c>
      <c r="D45" s="293">
        <v>7090000</v>
      </c>
      <c r="E45" s="298">
        <f t="shared" si="3"/>
        <v>423000</v>
      </c>
      <c r="F45" s="355">
        <f t="shared" si="4"/>
        <v>0.059661495063469676</v>
      </c>
      <c r="G45" s="298">
        <f t="shared" si="5"/>
        <v>6422.101449275362</v>
      </c>
      <c r="I45" s="49"/>
      <c r="J45" s="298">
        <v>1104</v>
      </c>
      <c r="K45" s="298">
        <v>6667000</v>
      </c>
      <c r="L45" s="293">
        <v>7090000</v>
      </c>
      <c r="M45" s="150"/>
      <c r="N45" s="151"/>
      <c r="O45" s="150"/>
    </row>
    <row r="46" spans="1:15" ht="12.75">
      <c r="A46" s="321" t="s">
        <v>190</v>
      </c>
      <c r="B46" s="298">
        <v>26.8</v>
      </c>
      <c r="C46" s="298">
        <v>441000</v>
      </c>
      <c r="D46" s="293">
        <v>568000</v>
      </c>
      <c r="E46" s="298">
        <f t="shared" si="3"/>
        <v>127000</v>
      </c>
      <c r="F46" s="355">
        <f t="shared" si="4"/>
        <v>0.22359154929577466</v>
      </c>
      <c r="G46" s="298">
        <f t="shared" si="5"/>
        <v>21194.02985074627</v>
      </c>
      <c r="I46" s="49"/>
      <c r="J46" s="298">
        <v>26.8</v>
      </c>
      <c r="K46" s="298">
        <v>441000</v>
      </c>
      <c r="L46" s="293">
        <v>568000</v>
      </c>
      <c r="M46" s="150"/>
      <c r="N46" s="151"/>
      <c r="O46" s="150"/>
    </row>
    <row r="47" spans="1:15" ht="12.75">
      <c r="A47" s="323" t="s">
        <v>25</v>
      </c>
      <c r="B47" s="298">
        <v>1138914</v>
      </c>
      <c r="C47" s="298">
        <v>39773000</v>
      </c>
      <c r="D47" s="293">
        <v>44205000</v>
      </c>
      <c r="E47" s="298">
        <f t="shared" si="3"/>
        <v>4432000</v>
      </c>
      <c r="F47" s="355">
        <f t="shared" si="4"/>
        <v>0.10026015156656487</v>
      </c>
      <c r="G47" s="298">
        <f t="shared" si="5"/>
        <v>38.81329055573994</v>
      </c>
      <c r="I47" s="49"/>
      <c r="J47" s="298">
        <v>1138914</v>
      </c>
      <c r="K47" s="298">
        <v>39773000</v>
      </c>
      <c r="L47" s="293">
        <v>44205000</v>
      </c>
      <c r="M47" s="150"/>
      <c r="N47" s="151"/>
      <c r="O47" s="150"/>
    </row>
    <row r="48" spans="1:15" ht="12.75">
      <c r="A48" s="321" t="s">
        <v>186</v>
      </c>
      <c r="B48" s="298">
        <v>2235</v>
      </c>
      <c r="C48" s="298">
        <v>552000</v>
      </c>
      <c r="D48" s="293">
        <v>773000</v>
      </c>
      <c r="E48" s="298">
        <f t="shared" si="3"/>
        <v>221000</v>
      </c>
      <c r="F48" s="355">
        <f t="shared" si="4"/>
        <v>0.2858990944372574</v>
      </c>
      <c r="G48" s="298">
        <f t="shared" si="5"/>
        <v>345.8612975391499</v>
      </c>
      <c r="I48" s="49"/>
      <c r="J48" s="298">
        <v>2235</v>
      </c>
      <c r="K48" s="298">
        <v>552000</v>
      </c>
      <c r="L48" s="293">
        <v>773000</v>
      </c>
      <c r="M48" s="150"/>
      <c r="N48" s="151"/>
      <c r="O48" s="150"/>
    </row>
    <row r="49" spans="1:15" ht="12.75">
      <c r="A49" s="323" t="s">
        <v>267</v>
      </c>
      <c r="B49" s="298">
        <v>342000</v>
      </c>
      <c r="C49" s="298">
        <v>3036000</v>
      </c>
      <c r="D49" s="293">
        <v>4126000</v>
      </c>
      <c r="E49" s="298">
        <f t="shared" si="3"/>
        <v>1090000</v>
      </c>
      <c r="F49" s="355">
        <f t="shared" si="4"/>
        <v>0.2641783809985458</v>
      </c>
      <c r="G49" s="298">
        <f t="shared" si="5"/>
        <v>12.064327485380117</v>
      </c>
      <c r="I49" s="49"/>
      <c r="J49" s="298">
        <v>342000</v>
      </c>
      <c r="K49" s="298">
        <v>3036000</v>
      </c>
      <c r="L49" s="293">
        <v>4126000</v>
      </c>
      <c r="M49" s="150"/>
      <c r="N49" s="151"/>
      <c r="O49" s="150"/>
    </row>
    <row r="50" spans="1:15" ht="12.75">
      <c r="A50" s="323" t="s">
        <v>18</v>
      </c>
      <c r="B50" s="298">
        <v>51100</v>
      </c>
      <c r="C50" s="298">
        <v>3931000</v>
      </c>
      <c r="D50" s="293">
        <v>4516000</v>
      </c>
      <c r="E50" s="298">
        <f t="shared" si="3"/>
        <v>585000</v>
      </c>
      <c r="F50" s="355">
        <f t="shared" si="4"/>
        <v>0.12953941541186892</v>
      </c>
      <c r="G50" s="298">
        <f t="shared" si="5"/>
        <v>88.37573385518591</v>
      </c>
      <c r="I50" s="49"/>
      <c r="J50" s="298">
        <v>51100</v>
      </c>
      <c r="K50" s="298">
        <v>3931000</v>
      </c>
      <c r="L50" s="293">
        <v>4516000</v>
      </c>
      <c r="M50" s="150"/>
      <c r="N50" s="151"/>
      <c r="O50" s="150"/>
    </row>
    <row r="51" spans="1:15" ht="12.75">
      <c r="A51" s="323" t="s">
        <v>102</v>
      </c>
      <c r="B51" s="298">
        <v>322463</v>
      </c>
      <c r="C51" s="298">
        <v>17281000</v>
      </c>
      <c r="D51" s="293">
        <v>21059000</v>
      </c>
      <c r="E51" s="298">
        <f t="shared" si="3"/>
        <v>3778000</v>
      </c>
      <c r="F51" s="355">
        <f t="shared" si="4"/>
        <v>0.17940073127878817</v>
      </c>
      <c r="G51" s="298">
        <f t="shared" si="5"/>
        <v>65.30671735982112</v>
      </c>
      <c r="I51" s="49"/>
      <c r="J51" s="298">
        <v>322463</v>
      </c>
      <c r="K51" s="298">
        <v>17281000</v>
      </c>
      <c r="L51" s="293">
        <v>21059000</v>
      </c>
      <c r="M51" s="150"/>
      <c r="N51" s="151"/>
      <c r="O51" s="150"/>
    </row>
    <row r="52" spans="1:15" ht="12.75">
      <c r="A52" s="323" t="s">
        <v>45</v>
      </c>
      <c r="B52" s="298">
        <v>56594</v>
      </c>
      <c r="C52" s="298">
        <v>4505000</v>
      </c>
      <c r="D52" s="293">
        <v>4487000</v>
      </c>
      <c r="E52" s="298">
        <f t="shared" si="3"/>
        <v>-18000</v>
      </c>
      <c r="F52" s="355">
        <f t="shared" si="4"/>
        <v>-0.004011589034989971</v>
      </c>
      <c r="G52" s="298">
        <f t="shared" si="5"/>
        <v>79.2840230413118</v>
      </c>
      <c r="I52" s="49"/>
      <c r="J52" s="298">
        <v>56594</v>
      </c>
      <c r="K52" s="298">
        <v>4505000</v>
      </c>
      <c r="L52" s="293">
        <v>4487000</v>
      </c>
      <c r="M52" s="150"/>
      <c r="N52" s="151"/>
      <c r="O52" s="150"/>
    </row>
    <row r="53" spans="1:15" ht="12.75">
      <c r="A53" s="323" t="s">
        <v>24</v>
      </c>
      <c r="B53" s="298">
        <v>109886</v>
      </c>
      <c r="C53" s="298">
        <v>11087000</v>
      </c>
      <c r="D53" s="293">
        <v>11477000</v>
      </c>
      <c r="E53" s="298">
        <f t="shared" si="3"/>
        <v>390000</v>
      </c>
      <c r="F53" s="355">
        <f t="shared" si="4"/>
        <v>0.033981005489239345</v>
      </c>
      <c r="G53" s="298">
        <f t="shared" si="5"/>
        <v>104.44460622827293</v>
      </c>
      <c r="I53" s="49"/>
      <c r="J53" s="298">
        <v>109886</v>
      </c>
      <c r="K53" s="298">
        <v>11087000</v>
      </c>
      <c r="L53" s="293">
        <v>11477000</v>
      </c>
      <c r="M53" s="150"/>
      <c r="N53" s="151"/>
      <c r="O53" s="150"/>
    </row>
    <row r="54" spans="1:15" ht="12.75">
      <c r="A54" s="323" t="s">
        <v>97</v>
      </c>
      <c r="B54" s="298">
        <v>9251</v>
      </c>
      <c r="C54" s="298">
        <v>787000</v>
      </c>
      <c r="D54" s="293">
        <v>1103000</v>
      </c>
      <c r="E54" s="298">
        <f t="shared" si="3"/>
        <v>316000</v>
      </c>
      <c r="F54" s="355">
        <f t="shared" si="4"/>
        <v>0.28649138712601996</v>
      </c>
      <c r="G54" s="298">
        <f t="shared" si="5"/>
        <v>119.23035347529996</v>
      </c>
      <c r="I54" s="49"/>
      <c r="J54" s="298">
        <v>9251</v>
      </c>
      <c r="K54" s="298">
        <v>787000</v>
      </c>
      <c r="L54" s="293">
        <v>1103000</v>
      </c>
      <c r="M54" s="150"/>
      <c r="N54" s="151"/>
      <c r="O54" s="150"/>
    </row>
    <row r="55" spans="1:15" ht="12.75">
      <c r="A55" s="323" t="s">
        <v>34</v>
      </c>
      <c r="B55" s="298">
        <v>78867</v>
      </c>
      <c r="C55" s="298">
        <v>10224000</v>
      </c>
      <c r="D55" s="293">
        <v>10202000</v>
      </c>
      <c r="E55" s="298">
        <f t="shared" si="3"/>
        <v>-22000</v>
      </c>
      <c r="F55" s="355">
        <f t="shared" si="4"/>
        <v>-0.0021564399137424034</v>
      </c>
      <c r="G55" s="298">
        <f t="shared" si="5"/>
        <v>129.3570187784498</v>
      </c>
      <c r="I55" s="49"/>
      <c r="J55" s="298">
        <v>78867</v>
      </c>
      <c r="K55" s="298">
        <v>10224000</v>
      </c>
      <c r="L55" s="293">
        <v>10202000</v>
      </c>
      <c r="M55" s="150"/>
      <c r="N55" s="151"/>
      <c r="O55" s="150"/>
    </row>
    <row r="56" spans="1:15" ht="12.75">
      <c r="A56" s="323" t="s">
        <v>105</v>
      </c>
      <c r="B56" s="298">
        <v>2344858</v>
      </c>
      <c r="C56" s="298">
        <v>50829000</v>
      </c>
      <c r="D56" s="293">
        <v>70916000</v>
      </c>
      <c r="E56" s="298">
        <f t="shared" si="3"/>
        <v>20087000</v>
      </c>
      <c r="F56" s="355">
        <f t="shared" si="4"/>
        <v>0.28325060635117605</v>
      </c>
      <c r="G56" s="298">
        <f t="shared" si="5"/>
        <v>30.243195963252358</v>
      </c>
      <c r="I56" s="49"/>
      <c r="J56" s="298">
        <v>2344858</v>
      </c>
      <c r="K56" s="298">
        <v>50829000</v>
      </c>
      <c r="L56" s="293">
        <v>70916000</v>
      </c>
      <c r="M56" s="150"/>
      <c r="N56" s="151"/>
      <c r="O56" s="150"/>
    </row>
    <row r="57" spans="1:15" ht="12.75">
      <c r="A57" s="323" t="s">
        <v>42</v>
      </c>
      <c r="B57" s="298">
        <v>43094</v>
      </c>
      <c r="C57" s="298">
        <v>5335000</v>
      </c>
      <c r="D57" s="293">
        <v>5516000</v>
      </c>
      <c r="E57" s="298">
        <f t="shared" si="3"/>
        <v>181000</v>
      </c>
      <c r="F57" s="355">
        <f t="shared" si="4"/>
        <v>0.03281363306744017</v>
      </c>
      <c r="G57" s="298">
        <f t="shared" si="5"/>
        <v>127.99925743723024</v>
      </c>
      <c r="I57" s="49"/>
      <c r="J57" s="298">
        <v>43094</v>
      </c>
      <c r="K57" s="298">
        <v>5335000</v>
      </c>
      <c r="L57" s="293">
        <v>5516000</v>
      </c>
      <c r="M57" s="150"/>
      <c r="N57" s="151"/>
      <c r="O57" s="150"/>
    </row>
    <row r="58" spans="1:15" ht="12.75">
      <c r="A58" s="323" t="s">
        <v>79</v>
      </c>
      <c r="B58" s="298">
        <v>23200</v>
      </c>
      <c r="C58" s="298">
        <v>730000</v>
      </c>
      <c r="D58" s="293">
        <v>741000</v>
      </c>
      <c r="E58" s="298">
        <f t="shared" si="3"/>
        <v>11000</v>
      </c>
      <c r="F58" s="355">
        <f t="shared" si="4"/>
        <v>0.014844804318488529</v>
      </c>
      <c r="G58" s="298">
        <f t="shared" si="5"/>
        <v>31.939655172413794</v>
      </c>
      <c r="I58" s="49"/>
      <c r="J58" s="298">
        <v>23200</v>
      </c>
      <c r="K58" s="298">
        <v>730000</v>
      </c>
      <c r="L58" s="293">
        <v>741000</v>
      </c>
      <c r="M58" s="150"/>
      <c r="N58" s="151"/>
      <c r="O58" s="150"/>
    </row>
    <row r="59" spans="1:15" ht="12.75">
      <c r="A59" s="321" t="s">
        <v>177</v>
      </c>
      <c r="B59" s="298">
        <v>751</v>
      </c>
      <c r="C59" s="298">
        <v>68000</v>
      </c>
      <c r="D59" s="293">
        <v>73000</v>
      </c>
      <c r="E59" s="298">
        <f t="shared" si="3"/>
        <v>5000</v>
      </c>
      <c r="F59" s="355">
        <f t="shared" si="4"/>
        <v>0.0684931506849315</v>
      </c>
      <c r="G59" s="298">
        <f t="shared" si="5"/>
        <v>97.20372836218375</v>
      </c>
      <c r="I59" s="49"/>
      <c r="J59" s="298">
        <v>751</v>
      </c>
      <c r="K59" s="298">
        <v>68000</v>
      </c>
      <c r="L59" s="293">
        <v>73000</v>
      </c>
      <c r="M59" s="150"/>
      <c r="N59" s="151"/>
      <c r="O59" s="150"/>
    </row>
    <row r="60" spans="1:15" ht="12.75">
      <c r="A60" s="323" t="s">
        <v>46</v>
      </c>
      <c r="B60" s="298">
        <v>48310</v>
      </c>
      <c r="C60" s="298">
        <v>8830000</v>
      </c>
      <c r="D60" s="293">
        <v>9824000</v>
      </c>
      <c r="E60" s="298">
        <f t="shared" si="3"/>
        <v>994000</v>
      </c>
      <c r="F60" s="355">
        <f t="shared" si="4"/>
        <v>0.10118078175895766</v>
      </c>
      <c r="G60" s="298">
        <f t="shared" si="5"/>
        <v>203.35334299316912</v>
      </c>
      <c r="I60" s="49"/>
      <c r="J60" s="298">
        <v>48310</v>
      </c>
      <c r="K60" s="298">
        <v>8830000</v>
      </c>
      <c r="L60" s="293">
        <v>9824000</v>
      </c>
      <c r="M60" s="150"/>
      <c r="N60" s="151"/>
      <c r="O60" s="150"/>
    </row>
    <row r="61" spans="1:15" ht="12.75">
      <c r="A61" s="323" t="s">
        <v>40</v>
      </c>
      <c r="B61" s="298">
        <v>283561</v>
      </c>
      <c r="C61" s="298">
        <v>12310000</v>
      </c>
      <c r="D61" s="293">
        <v>14791000</v>
      </c>
      <c r="E61" s="298">
        <f t="shared" si="3"/>
        <v>2481000</v>
      </c>
      <c r="F61" s="355">
        <f t="shared" si="4"/>
        <v>0.16773713744844837</v>
      </c>
      <c r="G61" s="298">
        <f t="shared" si="5"/>
        <v>52.16161601912816</v>
      </c>
      <c r="I61" s="49"/>
      <c r="J61" s="298">
        <v>283561</v>
      </c>
      <c r="K61" s="298">
        <v>12310000</v>
      </c>
      <c r="L61" s="293">
        <v>14791000</v>
      </c>
      <c r="M61" s="150"/>
      <c r="N61" s="151"/>
      <c r="O61" s="150"/>
    </row>
    <row r="62" spans="1:15" ht="12.75">
      <c r="A62" s="323" t="s">
        <v>73</v>
      </c>
      <c r="B62" s="298">
        <v>1002000</v>
      </c>
      <c r="C62" s="298">
        <v>70174000</v>
      </c>
      <c r="D62" s="293">
        <v>80472000</v>
      </c>
      <c r="E62" s="298">
        <f t="shared" si="3"/>
        <v>10298000</v>
      </c>
      <c r="F62" s="355">
        <f t="shared" si="4"/>
        <v>0.12796997713490407</v>
      </c>
      <c r="G62" s="298">
        <f t="shared" si="5"/>
        <v>80.31137724550898</v>
      </c>
      <c r="I62" s="49"/>
      <c r="J62" s="298">
        <v>1002000</v>
      </c>
      <c r="K62" s="298">
        <v>70174000</v>
      </c>
      <c r="L62" s="293">
        <v>80472000</v>
      </c>
      <c r="M62" s="150"/>
      <c r="N62" s="151"/>
      <c r="O62" s="150"/>
    </row>
    <row r="63" spans="1:15" ht="12.75">
      <c r="A63" s="323" t="s">
        <v>44</v>
      </c>
      <c r="B63" s="298">
        <v>21041</v>
      </c>
      <c r="C63" s="298">
        <v>5945000</v>
      </c>
      <c r="D63" s="293">
        <v>6052000</v>
      </c>
      <c r="E63" s="298">
        <f t="shared" si="3"/>
        <v>107000</v>
      </c>
      <c r="F63" s="355">
        <f t="shared" si="4"/>
        <v>0.017680105750165234</v>
      </c>
      <c r="G63" s="298">
        <f t="shared" si="5"/>
        <v>287.62891497552397</v>
      </c>
      <c r="I63" s="49"/>
      <c r="J63" s="298">
        <v>21041</v>
      </c>
      <c r="K63" s="298">
        <v>5945000</v>
      </c>
      <c r="L63" s="293">
        <v>6052000</v>
      </c>
      <c r="M63" s="150"/>
      <c r="N63" s="151"/>
      <c r="O63" s="150"/>
    </row>
    <row r="64" spans="1:15" ht="12.75">
      <c r="A64" s="323" t="s">
        <v>139</v>
      </c>
      <c r="B64" s="298">
        <v>28051</v>
      </c>
      <c r="C64" s="298">
        <v>529000</v>
      </c>
      <c r="D64" s="293">
        <v>651000</v>
      </c>
      <c r="E64" s="298">
        <f t="shared" si="3"/>
        <v>122000</v>
      </c>
      <c r="F64" s="355">
        <f t="shared" si="4"/>
        <v>0.18740399385560677</v>
      </c>
      <c r="G64" s="298">
        <f t="shared" si="5"/>
        <v>23.207728779722647</v>
      </c>
      <c r="I64" s="49"/>
      <c r="J64" s="298">
        <v>28051</v>
      </c>
      <c r="K64" s="298">
        <v>529000</v>
      </c>
      <c r="L64" s="293">
        <v>651000</v>
      </c>
      <c r="M64" s="150"/>
      <c r="N64" s="151"/>
      <c r="O64" s="150"/>
    </row>
    <row r="65" spans="1:15" ht="12.75">
      <c r="A65" s="323" t="s">
        <v>100</v>
      </c>
      <c r="B65" s="298">
        <v>117600</v>
      </c>
      <c r="C65" s="298">
        <v>3657000</v>
      </c>
      <c r="D65" s="293">
        <v>5793000</v>
      </c>
      <c r="E65" s="298">
        <f t="shared" si="3"/>
        <v>2136000</v>
      </c>
      <c r="F65" s="355">
        <f t="shared" si="4"/>
        <v>0.368720870015536</v>
      </c>
      <c r="G65" s="298">
        <f t="shared" si="5"/>
        <v>49.26020408163265</v>
      </c>
      <c r="I65" s="49"/>
      <c r="J65" s="298">
        <v>117600</v>
      </c>
      <c r="K65" s="298">
        <v>3657000</v>
      </c>
      <c r="L65" s="293">
        <v>5793000</v>
      </c>
      <c r="M65" s="150"/>
      <c r="N65" s="151"/>
      <c r="O65" s="150"/>
    </row>
    <row r="66" spans="1:15" ht="12.75">
      <c r="A66" s="323" t="s">
        <v>64</v>
      </c>
      <c r="B66" s="298">
        <v>45228</v>
      </c>
      <c r="C66" s="298">
        <v>1370000</v>
      </c>
      <c r="D66" s="293">
        <v>1291000</v>
      </c>
      <c r="E66" s="298">
        <f t="shared" si="3"/>
        <v>-79000</v>
      </c>
      <c r="F66" s="355">
        <f t="shared" si="4"/>
        <v>-0.061192873741285826</v>
      </c>
      <c r="G66" s="298">
        <f t="shared" si="5"/>
        <v>28.544264614840365</v>
      </c>
      <c r="I66" s="49"/>
      <c r="J66" s="298">
        <v>45228</v>
      </c>
      <c r="K66" s="298">
        <v>1370000</v>
      </c>
      <c r="L66" s="293">
        <v>1291000</v>
      </c>
      <c r="M66" s="150"/>
      <c r="N66" s="151"/>
      <c r="O66" s="150"/>
    </row>
    <row r="67" spans="1:15" ht="12.75">
      <c r="A67" s="323" t="s">
        <v>135</v>
      </c>
      <c r="B67" s="298">
        <v>1104300</v>
      </c>
      <c r="C67" s="298">
        <v>65515000</v>
      </c>
      <c r="D67" s="293">
        <v>88013000</v>
      </c>
      <c r="E67" s="298">
        <f t="shared" si="3"/>
        <v>22498000</v>
      </c>
      <c r="F67" s="355">
        <f t="shared" si="4"/>
        <v>0.255621328667356</v>
      </c>
      <c r="G67" s="298">
        <f t="shared" si="5"/>
        <v>79.70026260979806</v>
      </c>
      <c r="I67" s="49"/>
      <c r="J67" s="298">
        <v>1104300</v>
      </c>
      <c r="K67" s="298">
        <v>65515000</v>
      </c>
      <c r="L67" s="293">
        <v>88013000</v>
      </c>
      <c r="M67" s="150"/>
      <c r="N67" s="151"/>
      <c r="O67" s="150"/>
    </row>
    <row r="68" spans="1:15" ht="12.75">
      <c r="A68" s="321" t="s">
        <v>161</v>
      </c>
      <c r="B68" s="298">
        <v>1393</v>
      </c>
      <c r="C68" s="298">
        <v>46000</v>
      </c>
      <c r="D68" s="293">
        <v>49000</v>
      </c>
      <c r="E68" s="298">
        <f t="shared" si="3"/>
        <v>3000</v>
      </c>
      <c r="F68" s="355">
        <f t="shared" si="4"/>
        <v>0.061224489795918366</v>
      </c>
      <c r="G68" s="298">
        <f t="shared" si="5"/>
        <v>35.175879396984925</v>
      </c>
      <c r="I68" s="49"/>
      <c r="J68" s="298">
        <v>1393</v>
      </c>
      <c r="K68" s="298">
        <v>46000</v>
      </c>
      <c r="L68" s="293">
        <v>49000</v>
      </c>
      <c r="M68" s="150"/>
      <c r="N68" s="151"/>
      <c r="O68" s="150"/>
    </row>
    <row r="69" spans="1:15" ht="12.75">
      <c r="A69" s="323" t="s">
        <v>57</v>
      </c>
      <c r="B69" s="298">
        <v>18274</v>
      </c>
      <c r="C69" s="298">
        <v>802000</v>
      </c>
      <c r="D69" s="293">
        <v>876000</v>
      </c>
      <c r="E69" s="298">
        <f t="shared" si="3"/>
        <v>74000</v>
      </c>
      <c r="F69" s="355">
        <f t="shared" si="4"/>
        <v>0.08447488584474885</v>
      </c>
      <c r="G69" s="298">
        <f t="shared" si="5"/>
        <v>47.9369596147532</v>
      </c>
      <c r="I69" s="49"/>
      <c r="J69" s="298">
        <v>18274</v>
      </c>
      <c r="K69" s="298">
        <v>802000</v>
      </c>
      <c r="L69" s="293">
        <v>876000</v>
      </c>
      <c r="M69" s="150"/>
      <c r="N69" s="151"/>
      <c r="O69" s="150"/>
    </row>
    <row r="70" spans="1:15" ht="12.75">
      <c r="A70" s="323" t="s">
        <v>3</v>
      </c>
      <c r="B70" s="298">
        <v>338145</v>
      </c>
      <c r="C70" s="298">
        <v>5173000</v>
      </c>
      <c r="D70" s="293">
        <v>5255000</v>
      </c>
      <c r="E70" s="298">
        <f t="shared" si="3"/>
        <v>82000</v>
      </c>
      <c r="F70" s="355">
        <f t="shared" si="4"/>
        <v>0.01560418648905804</v>
      </c>
      <c r="G70" s="298">
        <f t="shared" si="5"/>
        <v>15.540670422451907</v>
      </c>
      <c r="I70" s="49"/>
      <c r="J70" s="298">
        <v>338145</v>
      </c>
      <c r="K70" s="298">
        <v>5173000</v>
      </c>
      <c r="L70" s="293">
        <v>5255000</v>
      </c>
      <c r="M70" s="150"/>
      <c r="N70" s="151"/>
      <c r="O70" s="150"/>
    </row>
    <row r="71" spans="1:15" ht="12.75">
      <c r="A71" s="323" t="s">
        <v>22</v>
      </c>
      <c r="B71" s="298">
        <v>551500</v>
      </c>
      <c r="C71" s="298">
        <v>59128000</v>
      </c>
      <c r="D71" s="293">
        <v>63340000</v>
      </c>
      <c r="E71" s="298">
        <f aca="true" t="shared" si="6" ref="E71:E102">D71-C71</f>
        <v>4212000</v>
      </c>
      <c r="F71" s="355">
        <f aca="true" t="shared" si="7" ref="F71:F102">E71/D71</f>
        <v>0.06649826334070098</v>
      </c>
      <c r="G71" s="298">
        <f aca="true" t="shared" si="8" ref="G71:G102">D71/B71</f>
        <v>114.85040797824117</v>
      </c>
      <c r="I71" s="49"/>
      <c r="J71" s="298">
        <v>551500</v>
      </c>
      <c r="K71" s="298">
        <v>59128000</v>
      </c>
      <c r="L71" s="293">
        <v>63340000</v>
      </c>
      <c r="M71" s="150"/>
      <c r="N71" s="151"/>
      <c r="O71" s="150"/>
    </row>
    <row r="72" spans="1:15" ht="12.75">
      <c r="A72" s="321" t="s">
        <v>171</v>
      </c>
      <c r="B72" s="298">
        <v>90000</v>
      </c>
      <c r="C72" s="298">
        <v>165000</v>
      </c>
      <c r="D72" s="293">
        <v>191000</v>
      </c>
      <c r="E72" s="298">
        <f t="shared" si="6"/>
        <v>26000</v>
      </c>
      <c r="F72" s="355">
        <f t="shared" si="7"/>
        <v>0.13612565445026178</v>
      </c>
      <c r="G72" s="298">
        <f t="shared" si="8"/>
        <v>2.1222222222222222</v>
      </c>
      <c r="I72" s="49"/>
      <c r="J72" s="298">
        <v>90000</v>
      </c>
      <c r="K72" s="298">
        <v>165000</v>
      </c>
      <c r="L72" s="293">
        <v>191000</v>
      </c>
      <c r="M72" s="150"/>
      <c r="N72" s="151"/>
      <c r="O72" s="150"/>
    </row>
    <row r="73" spans="1:15" ht="12.75">
      <c r="A73" s="321" t="s">
        <v>173</v>
      </c>
      <c r="B73" s="298">
        <v>4167</v>
      </c>
      <c r="C73" s="298">
        <v>236000</v>
      </c>
      <c r="D73" s="293">
        <v>291000</v>
      </c>
      <c r="E73" s="298">
        <f t="shared" si="6"/>
        <v>55000</v>
      </c>
      <c r="F73" s="355">
        <f t="shared" si="7"/>
        <v>0.18900343642611683</v>
      </c>
      <c r="G73" s="298">
        <f t="shared" si="8"/>
        <v>69.83441324694024</v>
      </c>
      <c r="I73" s="49"/>
      <c r="J73" s="298">
        <v>4167</v>
      </c>
      <c r="K73" s="298">
        <v>236000</v>
      </c>
      <c r="L73" s="293">
        <v>291000</v>
      </c>
      <c r="M73" s="150"/>
      <c r="N73" s="151"/>
      <c r="O73" s="150"/>
    </row>
    <row r="74" spans="1:15" ht="12.75">
      <c r="A74" s="323" t="s">
        <v>96</v>
      </c>
      <c r="B74" s="298">
        <v>267668</v>
      </c>
      <c r="C74" s="298">
        <v>1233000</v>
      </c>
      <c r="D74" s="293">
        <v>1545000</v>
      </c>
      <c r="E74" s="298">
        <f t="shared" si="6"/>
        <v>312000</v>
      </c>
      <c r="F74" s="355">
        <f t="shared" si="7"/>
        <v>0.20194174757281552</v>
      </c>
      <c r="G74" s="298">
        <f t="shared" si="8"/>
        <v>5.77207585516386</v>
      </c>
      <c r="I74" s="49"/>
      <c r="J74" s="298">
        <v>267668</v>
      </c>
      <c r="K74" s="298">
        <v>1233000</v>
      </c>
      <c r="L74" s="293">
        <v>1545000</v>
      </c>
      <c r="M74" s="150"/>
      <c r="N74" s="151"/>
      <c r="O74" s="150"/>
    </row>
    <row r="75" spans="1:15" ht="12.75">
      <c r="A75" s="323" t="s">
        <v>113</v>
      </c>
      <c r="B75" s="298">
        <v>11295</v>
      </c>
      <c r="C75" s="298">
        <v>1302000</v>
      </c>
      <c r="D75" s="293">
        <v>1824000</v>
      </c>
      <c r="E75" s="298">
        <f t="shared" si="6"/>
        <v>522000</v>
      </c>
      <c r="F75" s="355">
        <f t="shared" si="7"/>
        <v>0.28618421052631576</v>
      </c>
      <c r="G75" s="298">
        <f t="shared" si="8"/>
        <v>161.48738379814077</v>
      </c>
      <c r="I75" s="49"/>
      <c r="J75" s="298">
        <v>11295</v>
      </c>
      <c r="K75" s="298">
        <v>1302000</v>
      </c>
      <c r="L75" s="293">
        <v>1824000</v>
      </c>
      <c r="M75" s="150"/>
      <c r="N75" s="151"/>
      <c r="O75" s="150"/>
    </row>
    <row r="76" spans="1:15" ht="12.75">
      <c r="A76" s="323" t="s">
        <v>66</v>
      </c>
      <c r="B76" s="298">
        <v>69700</v>
      </c>
      <c r="C76" s="298">
        <v>4745000</v>
      </c>
      <c r="D76" s="293">
        <v>4601000</v>
      </c>
      <c r="E76" s="298">
        <f t="shared" si="6"/>
        <v>-144000</v>
      </c>
      <c r="F76" s="355">
        <f t="shared" si="7"/>
        <v>-0.03129754401217127</v>
      </c>
      <c r="G76" s="298">
        <f t="shared" si="8"/>
        <v>66.01147776183645</v>
      </c>
      <c r="I76" s="49"/>
      <c r="J76" s="298">
        <v>69700</v>
      </c>
      <c r="K76" s="298">
        <v>4745000</v>
      </c>
      <c r="L76" s="293">
        <v>4601000</v>
      </c>
      <c r="M76" s="150"/>
      <c r="N76" s="151"/>
      <c r="O76" s="150"/>
    </row>
    <row r="77" spans="1:15" ht="12.75">
      <c r="A77" s="323" t="s">
        <v>30</v>
      </c>
      <c r="B77" s="298">
        <v>357022</v>
      </c>
      <c r="C77" s="298">
        <v>82075000</v>
      </c>
      <c r="D77" s="293">
        <v>82283000</v>
      </c>
      <c r="E77" s="298">
        <f t="shared" si="6"/>
        <v>208000</v>
      </c>
      <c r="F77" s="355">
        <f t="shared" si="7"/>
        <v>0.002527861162086944</v>
      </c>
      <c r="G77" s="298">
        <f t="shared" si="8"/>
        <v>230.47039118037543</v>
      </c>
      <c r="I77" s="49"/>
      <c r="J77" s="298">
        <v>357022</v>
      </c>
      <c r="K77" s="298">
        <v>82075000</v>
      </c>
      <c r="L77" s="293">
        <v>82283000</v>
      </c>
      <c r="M77" s="150"/>
      <c r="N77" s="151"/>
      <c r="O77" s="150"/>
    </row>
    <row r="78" spans="1:15" ht="12.75">
      <c r="A78" s="323" t="s">
        <v>108</v>
      </c>
      <c r="B78" s="298">
        <v>238533</v>
      </c>
      <c r="C78" s="298">
        <v>19529000</v>
      </c>
      <c r="D78" s="293">
        <v>24340000</v>
      </c>
      <c r="E78" s="298">
        <f t="shared" si="6"/>
        <v>4811000</v>
      </c>
      <c r="F78" s="355">
        <f t="shared" si="7"/>
        <v>0.197658175842235</v>
      </c>
      <c r="G78" s="298">
        <f t="shared" si="8"/>
        <v>102.04038854162737</v>
      </c>
      <c r="I78" s="49"/>
      <c r="J78" s="298">
        <v>238533</v>
      </c>
      <c r="K78" s="298">
        <v>19529000</v>
      </c>
      <c r="L78" s="293">
        <v>24340000</v>
      </c>
      <c r="M78" s="150"/>
      <c r="N78" s="151"/>
      <c r="O78" s="150"/>
    </row>
    <row r="79" spans="1:15" ht="12.75">
      <c r="A79" s="323" t="s">
        <v>76</v>
      </c>
      <c r="B79" s="298">
        <v>131957</v>
      </c>
      <c r="C79" s="298">
        <v>10942000</v>
      </c>
      <c r="D79" s="293">
        <v>10750000</v>
      </c>
      <c r="E79" s="298">
        <f t="shared" si="6"/>
        <v>-192000</v>
      </c>
      <c r="F79" s="355">
        <f t="shared" si="7"/>
        <v>-0.01786046511627907</v>
      </c>
      <c r="G79" s="298">
        <f t="shared" si="8"/>
        <v>81.46593208393644</v>
      </c>
      <c r="I79" s="49"/>
      <c r="J79" s="298">
        <v>131957</v>
      </c>
      <c r="K79" s="298">
        <v>10942000</v>
      </c>
      <c r="L79" s="293">
        <v>10750000</v>
      </c>
      <c r="M79" s="150"/>
      <c r="N79" s="151"/>
      <c r="O79" s="150"/>
    </row>
    <row r="80" spans="1:15" ht="12.75">
      <c r="A80" s="321" t="s">
        <v>164</v>
      </c>
      <c r="B80" s="298">
        <v>2166086</v>
      </c>
      <c r="C80" s="298">
        <v>56000</v>
      </c>
      <c r="D80" s="293">
        <v>58000</v>
      </c>
      <c r="E80" s="298">
        <f t="shared" si="6"/>
        <v>2000</v>
      </c>
      <c r="F80" s="355">
        <f t="shared" si="7"/>
        <v>0.034482758620689655</v>
      </c>
      <c r="G80" s="298">
        <f t="shared" si="8"/>
        <v>0.026776406846265567</v>
      </c>
      <c r="I80" s="49"/>
      <c r="J80" s="298">
        <v>2166086</v>
      </c>
      <c r="K80" s="298">
        <v>56000</v>
      </c>
      <c r="L80" s="293">
        <v>58000</v>
      </c>
      <c r="M80" s="150"/>
      <c r="N80" s="151"/>
      <c r="O80" s="150"/>
    </row>
    <row r="81" spans="1:15" ht="12.75">
      <c r="A81" s="321" t="s">
        <v>176</v>
      </c>
      <c r="B81" s="298">
        <v>344</v>
      </c>
      <c r="C81" s="298">
        <v>101000</v>
      </c>
      <c r="D81" s="293">
        <v>108000</v>
      </c>
      <c r="E81" s="298">
        <f t="shared" si="6"/>
        <v>7000</v>
      </c>
      <c r="F81" s="355">
        <f t="shared" si="7"/>
        <v>0.06481481481481481</v>
      </c>
      <c r="G81" s="298">
        <f t="shared" si="8"/>
        <v>313.95348837209303</v>
      </c>
      <c r="I81" s="49"/>
      <c r="J81" s="298">
        <v>344</v>
      </c>
      <c r="K81" s="298">
        <v>101000</v>
      </c>
      <c r="L81" s="293">
        <v>108000</v>
      </c>
      <c r="M81" s="150"/>
      <c r="N81" s="151"/>
      <c r="O81" s="150"/>
    </row>
    <row r="82" spans="1:15" ht="12.75">
      <c r="A82" s="321" t="s">
        <v>168</v>
      </c>
      <c r="B82" s="298">
        <v>1710</v>
      </c>
      <c r="C82" s="298">
        <v>429000</v>
      </c>
      <c r="D82" s="293">
        <v>445000</v>
      </c>
      <c r="E82" s="298">
        <f t="shared" si="6"/>
        <v>16000</v>
      </c>
      <c r="F82" s="355">
        <f t="shared" si="7"/>
        <v>0.035955056179775284</v>
      </c>
      <c r="G82" s="298">
        <f t="shared" si="8"/>
        <v>260.233918128655</v>
      </c>
      <c r="I82" s="49"/>
      <c r="J82" s="298">
        <v>1710</v>
      </c>
      <c r="K82" s="298">
        <v>429000</v>
      </c>
      <c r="L82" s="293">
        <v>445000</v>
      </c>
      <c r="M82" s="150"/>
      <c r="N82" s="151"/>
      <c r="O82" s="150"/>
    </row>
    <row r="83" spans="1:15" ht="12.75">
      <c r="A83" s="323" t="s">
        <v>104</v>
      </c>
      <c r="B83" s="298">
        <v>108889</v>
      </c>
      <c r="C83" s="298">
        <v>11231000</v>
      </c>
      <c r="D83" s="293">
        <v>13550000</v>
      </c>
      <c r="E83" s="298">
        <f t="shared" si="6"/>
        <v>2319000</v>
      </c>
      <c r="F83" s="355">
        <f t="shared" si="7"/>
        <v>0.1711439114391144</v>
      </c>
      <c r="G83" s="298">
        <f t="shared" si="8"/>
        <v>124.43864853199129</v>
      </c>
      <c r="I83" s="49"/>
      <c r="J83" s="298">
        <v>108889</v>
      </c>
      <c r="K83" s="298">
        <v>11231000</v>
      </c>
      <c r="L83" s="293">
        <v>13550000</v>
      </c>
      <c r="M83" s="150"/>
      <c r="N83" s="151"/>
      <c r="O83" s="150"/>
    </row>
    <row r="84" spans="1:15" ht="12.75">
      <c r="A84" s="323" t="s">
        <v>130</v>
      </c>
      <c r="B84" s="298">
        <v>245857</v>
      </c>
      <c r="C84" s="298">
        <v>8384000</v>
      </c>
      <c r="D84" s="293">
        <v>10324000</v>
      </c>
      <c r="E84" s="298">
        <f t="shared" si="6"/>
        <v>1940000</v>
      </c>
      <c r="F84" s="355">
        <f t="shared" si="7"/>
        <v>0.18791166214645486</v>
      </c>
      <c r="G84" s="298">
        <f t="shared" si="8"/>
        <v>41.991889594357694</v>
      </c>
      <c r="I84" s="49"/>
      <c r="J84" s="298">
        <v>245857</v>
      </c>
      <c r="K84" s="298">
        <v>8384000</v>
      </c>
      <c r="L84" s="293">
        <v>10324000</v>
      </c>
      <c r="M84" s="150"/>
      <c r="N84" s="151"/>
      <c r="O84" s="150"/>
    </row>
    <row r="85" spans="1:15" ht="12.75">
      <c r="A85" s="323" t="s">
        <v>126</v>
      </c>
      <c r="B85" s="298">
        <v>36125</v>
      </c>
      <c r="C85" s="298">
        <v>1304000</v>
      </c>
      <c r="D85" s="293">
        <v>1565000</v>
      </c>
      <c r="E85" s="298">
        <f t="shared" si="6"/>
        <v>261000</v>
      </c>
      <c r="F85" s="355">
        <f t="shared" si="7"/>
        <v>0.16677316293929711</v>
      </c>
      <c r="G85" s="298">
        <f t="shared" si="8"/>
        <v>43.32179930795848</v>
      </c>
      <c r="I85" s="49"/>
      <c r="J85" s="298">
        <v>36125</v>
      </c>
      <c r="K85" s="298">
        <v>1304000</v>
      </c>
      <c r="L85" s="293">
        <v>1565000</v>
      </c>
      <c r="M85" s="150"/>
      <c r="N85" s="151"/>
      <c r="O85" s="150"/>
    </row>
    <row r="86" spans="1:15" ht="12.75">
      <c r="A86" s="323" t="s">
        <v>85</v>
      </c>
      <c r="B86" s="298">
        <v>214969</v>
      </c>
      <c r="C86" s="298">
        <v>756000</v>
      </c>
      <c r="D86" s="293">
        <v>748000</v>
      </c>
      <c r="E86" s="298">
        <f t="shared" si="6"/>
        <v>-8000</v>
      </c>
      <c r="F86" s="355">
        <f t="shared" si="7"/>
        <v>-0.0106951871657754</v>
      </c>
      <c r="G86" s="298">
        <f t="shared" si="8"/>
        <v>3.479571473096121</v>
      </c>
      <c r="I86" s="49"/>
      <c r="J86" s="298">
        <v>214969</v>
      </c>
      <c r="K86" s="298">
        <v>756000</v>
      </c>
      <c r="L86" s="293">
        <v>748000</v>
      </c>
      <c r="M86" s="150"/>
      <c r="N86" s="151"/>
      <c r="O86" s="150"/>
    </row>
    <row r="87" spans="1:15" ht="12.75">
      <c r="A87" s="323" t="s">
        <v>148</v>
      </c>
      <c r="B87" s="298">
        <v>27750</v>
      </c>
      <c r="C87" s="298">
        <v>8648000</v>
      </c>
      <c r="D87" s="293">
        <v>9649000</v>
      </c>
      <c r="E87" s="298">
        <f t="shared" si="6"/>
        <v>1001000</v>
      </c>
      <c r="F87" s="355">
        <f t="shared" si="7"/>
        <v>0.10374132034407711</v>
      </c>
      <c r="G87" s="298">
        <f t="shared" si="8"/>
        <v>347.7117117117117</v>
      </c>
      <c r="I87" s="49"/>
      <c r="J87" s="298">
        <v>27750</v>
      </c>
      <c r="K87" s="298">
        <v>8648000</v>
      </c>
      <c r="L87" s="293">
        <v>9649000</v>
      </c>
      <c r="M87" s="150"/>
      <c r="N87" s="151"/>
      <c r="O87" s="150"/>
    </row>
    <row r="88" spans="1:15" ht="12.75">
      <c r="A88" s="323" t="s">
        <v>114</v>
      </c>
      <c r="B88" s="298">
        <v>112492</v>
      </c>
      <c r="C88" s="298">
        <v>6230000</v>
      </c>
      <c r="D88" s="293">
        <v>7989000</v>
      </c>
      <c r="E88" s="298">
        <f t="shared" si="6"/>
        <v>1759000</v>
      </c>
      <c r="F88" s="355">
        <f t="shared" si="7"/>
        <v>0.220177744398548</v>
      </c>
      <c r="G88" s="298">
        <f t="shared" si="8"/>
        <v>71.01838352949544</v>
      </c>
      <c r="I88" s="49"/>
      <c r="J88" s="298">
        <v>112492</v>
      </c>
      <c r="K88" s="298">
        <v>6230000</v>
      </c>
      <c r="L88" s="293">
        <v>7989000</v>
      </c>
      <c r="M88" s="150"/>
      <c r="N88" s="151"/>
      <c r="O88" s="150"/>
    </row>
    <row r="89" spans="1:15" ht="12.75">
      <c r="A89" s="323" t="s">
        <v>43</v>
      </c>
      <c r="B89" s="298">
        <v>93028</v>
      </c>
      <c r="C89" s="298">
        <v>10215000</v>
      </c>
      <c r="D89" s="293">
        <v>9992000</v>
      </c>
      <c r="E89" s="298">
        <f t="shared" si="6"/>
        <v>-223000</v>
      </c>
      <c r="F89" s="355">
        <f t="shared" si="7"/>
        <v>-0.022317854283426742</v>
      </c>
      <c r="G89" s="298">
        <f t="shared" si="8"/>
        <v>107.40852216536956</v>
      </c>
      <c r="I89" s="49"/>
      <c r="J89" s="298">
        <v>93028</v>
      </c>
      <c r="K89" s="298">
        <v>10215000</v>
      </c>
      <c r="L89" s="293">
        <v>9992000</v>
      </c>
      <c r="M89" s="150"/>
      <c r="N89" s="151"/>
      <c r="O89" s="150"/>
    </row>
    <row r="90" spans="1:15" ht="12.75">
      <c r="A90" s="323" t="s">
        <v>16</v>
      </c>
      <c r="B90" s="298">
        <v>103000</v>
      </c>
      <c r="C90" s="298">
        <v>281000</v>
      </c>
      <c r="D90" s="293">
        <v>309000</v>
      </c>
      <c r="E90" s="298">
        <f t="shared" si="6"/>
        <v>28000</v>
      </c>
      <c r="F90" s="355">
        <f t="shared" si="7"/>
        <v>0.09061488673139159</v>
      </c>
      <c r="G90" s="298">
        <f t="shared" si="8"/>
        <v>3</v>
      </c>
      <c r="I90" s="49"/>
      <c r="J90" s="298">
        <v>103000</v>
      </c>
      <c r="K90" s="298">
        <v>281000</v>
      </c>
      <c r="L90" s="293">
        <v>309000</v>
      </c>
      <c r="M90" s="150"/>
      <c r="N90" s="151"/>
      <c r="O90" s="150"/>
    </row>
    <row r="91" spans="1:15" ht="12.75">
      <c r="A91" s="323" t="s">
        <v>118</v>
      </c>
      <c r="B91" s="298">
        <v>3287263</v>
      </c>
      <c r="C91" s="298">
        <v>1042590000</v>
      </c>
      <c r="D91" s="293">
        <v>1173108000</v>
      </c>
      <c r="E91" s="298">
        <f t="shared" si="6"/>
        <v>130518000</v>
      </c>
      <c r="F91" s="355">
        <f t="shared" si="7"/>
        <v>0.1112582984686832</v>
      </c>
      <c r="G91" s="298">
        <f t="shared" si="8"/>
        <v>356.8646621824904</v>
      </c>
      <c r="I91" s="49"/>
      <c r="J91" s="298">
        <v>3287263</v>
      </c>
      <c r="K91" s="298">
        <v>1042590000</v>
      </c>
      <c r="L91" s="293">
        <v>1173108000</v>
      </c>
      <c r="M91" s="150"/>
      <c r="N91" s="151"/>
      <c r="O91" s="150"/>
    </row>
    <row r="92" spans="1:15" ht="12.75">
      <c r="A92" s="323" t="s">
        <v>128</v>
      </c>
      <c r="B92" s="298">
        <v>1904569</v>
      </c>
      <c r="C92" s="298">
        <v>205280000</v>
      </c>
      <c r="D92" s="293">
        <v>242968000</v>
      </c>
      <c r="E92" s="298">
        <f t="shared" si="6"/>
        <v>37688000</v>
      </c>
      <c r="F92" s="355">
        <f t="shared" si="7"/>
        <v>0.15511507688255244</v>
      </c>
      <c r="G92" s="298">
        <f t="shared" si="8"/>
        <v>127.57111976515422</v>
      </c>
      <c r="I92" s="49"/>
      <c r="J92" s="298">
        <v>1904569</v>
      </c>
      <c r="K92" s="298">
        <v>205280000</v>
      </c>
      <c r="L92" s="293">
        <v>242968000</v>
      </c>
      <c r="M92" s="150"/>
      <c r="N92" s="151"/>
      <c r="O92" s="150"/>
    </row>
    <row r="93" spans="1:15" ht="12.75">
      <c r="A93" s="323" t="s">
        <v>4</v>
      </c>
      <c r="B93" s="298">
        <v>1648195</v>
      </c>
      <c r="C93" s="298">
        <v>66903000</v>
      </c>
      <c r="D93" s="293">
        <v>76923000</v>
      </c>
      <c r="E93" s="298">
        <f t="shared" si="6"/>
        <v>10020000</v>
      </c>
      <c r="F93" s="355">
        <f t="shared" si="7"/>
        <v>0.13026013026013025</v>
      </c>
      <c r="G93" s="298">
        <f t="shared" si="8"/>
        <v>46.67105530595591</v>
      </c>
      <c r="I93" s="49"/>
      <c r="J93" s="298">
        <v>1648195</v>
      </c>
      <c r="K93" s="298">
        <v>66903000</v>
      </c>
      <c r="L93" s="293">
        <v>76923000</v>
      </c>
      <c r="M93" s="150"/>
      <c r="N93" s="151"/>
      <c r="O93" s="150"/>
    </row>
    <row r="94" spans="1:15" ht="12.75">
      <c r="A94" s="324" t="s">
        <v>143</v>
      </c>
      <c r="B94" s="298">
        <v>438317</v>
      </c>
      <c r="C94" s="298">
        <v>24652000</v>
      </c>
      <c r="D94" s="293">
        <v>29672000</v>
      </c>
      <c r="E94" s="298">
        <f t="shared" si="6"/>
        <v>5020000</v>
      </c>
      <c r="F94" s="355">
        <f t="shared" si="7"/>
        <v>0.16918306821245618</v>
      </c>
      <c r="G94" s="298">
        <f t="shared" si="8"/>
        <v>67.69529815179425</v>
      </c>
      <c r="I94" s="77"/>
      <c r="J94" s="298">
        <v>438317</v>
      </c>
      <c r="K94" s="298">
        <v>24652000</v>
      </c>
      <c r="L94" s="293">
        <v>29672000</v>
      </c>
      <c r="M94" s="150"/>
      <c r="N94" s="151"/>
      <c r="O94" s="150"/>
    </row>
    <row r="95" spans="1:15" ht="12.75">
      <c r="A95" s="323" t="s">
        <v>53</v>
      </c>
      <c r="B95" s="298">
        <v>70273</v>
      </c>
      <c r="C95" s="298">
        <v>3804000</v>
      </c>
      <c r="D95" s="293">
        <v>4623000</v>
      </c>
      <c r="E95" s="298">
        <f t="shared" si="6"/>
        <v>819000</v>
      </c>
      <c r="F95" s="355">
        <f t="shared" si="7"/>
        <v>0.17715768981181051</v>
      </c>
      <c r="G95" s="298">
        <f t="shared" si="8"/>
        <v>65.78629060948018</v>
      </c>
      <c r="I95" s="49"/>
      <c r="J95" s="298">
        <v>70273</v>
      </c>
      <c r="K95" s="298">
        <v>3804000</v>
      </c>
      <c r="L95" s="293">
        <v>4623000</v>
      </c>
      <c r="M95" s="150"/>
      <c r="N95" s="151"/>
      <c r="O95" s="150"/>
    </row>
    <row r="96" spans="1:15" ht="12.75">
      <c r="A96" s="323" t="s">
        <v>5</v>
      </c>
      <c r="B96" s="298">
        <v>22072</v>
      </c>
      <c r="C96" s="298">
        <v>6084000</v>
      </c>
      <c r="D96" s="293">
        <v>7354000</v>
      </c>
      <c r="E96" s="298">
        <f t="shared" si="6"/>
        <v>1270000</v>
      </c>
      <c r="F96" s="355">
        <f t="shared" si="7"/>
        <v>0.17269513190100624</v>
      </c>
      <c r="G96" s="298">
        <f t="shared" si="8"/>
        <v>333.1823124320406</v>
      </c>
      <c r="I96" s="49"/>
      <c r="J96" s="298">
        <v>22072</v>
      </c>
      <c r="K96" s="298">
        <v>6084000</v>
      </c>
      <c r="L96" s="293">
        <v>7354000</v>
      </c>
      <c r="M96" s="150"/>
      <c r="N96" s="151"/>
      <c r="O96" s="150"/>
    </row>
    <row r="97" spans="1:15" ht="12.75">
      <c r="A97" s="323" t="s">
        <v>31</v>
      </c>
      <c r="B97" s="298">
        <v>301318</v>
      </c>
      <c r="C97" s="298">
        <v>57116000</v>
      </c>
      <c r="D97" s="293">
        <v>58122000</v>
      </c>
      <c r="E97" s="298">
        <f t="shared" si="6"/>
        <v>1006000</v>
      </c>
      <c r="F97" s="355">
        <f t="shared" si="7"/>
        <v>0.017308420219538212</v>
      </c>
      <c r="G97" s="298">
        <f t="shared" si="8"/>
        <v>192.89255869214583</v>
      </c>
      <c r="I97" s="49"/>
      <c r="J97" s="298">
        <v>301318</v>
      </c>
      <c r="K97" s="298">
        <v>57116000</v>
      </c>
      <c r="L97" s="293">
        <v>58122000</v>
      </c>
      <c r="M97" s="150"/>
      <c r="N97" s="151"/>
      <c r="O97" s="150"/>
    </row>
    <row r="98" spans="1:15" ht="12.75">
      <c r="A98" s="323" t="s">
        <v>90</v>
      </c>
      <c r="B98" s="298">
        <v>10991</v>
      </c>
      <c r="C98" s="298">
        <v>2568000</v>
      </c>
      <c r="D98" s="293">
        <v>2847000</v>
      </c>
      <c r="E98" s="298">
        <f t="shared" si="6"/>
        <v>279000</v>
      </c>
      <c r="F98" s="355">
        <f t="shared" si="7"/>
        <v>0.09799789251844046</v>
      </c>
      <c r="G98" s="298">
        <f t="shared" si="8"/>
        <v>259.0301155490856</v>
      </c>
      <c r="I98" s="49"/>
      <c r="J98" s="298">
        <v>10991</v>
      </c>
      <c r="K98" s="298">
        <v>2568000</v>
      </c>
      <c r="L98" s="293">
        <v>2847000</v>
      </c>
      <c r="M98" s="150"/>
      <c r="N98" s="151"/>
      <c r="O98" s="150"/>
    </row>
    <row r="99" spans="1:15" ht="12.75">
      <c r="A99" s="323" t="s">
        <v>6</v>
      </c>
      <c r="B99" s="298">
        <v>377915</v>
      </c>
      <c r="C99" s="298">
        <v>126706000</v>
      </c>
      <c r="D99" s="293">
        <v>126804000</v>
      </c>
      <c r="E99" s="298">
        <f t="shared" si="6"/>
        <v>98000</v>
      </c>
      <c r="F99" s="355">
        <f t="shared" si="7"/>
        <v>0.0007728462824516577</v>
      </c>
      <c r="G99" s="298">
        <f t="shared" si="8"/>
        <v>335.53576862521993</v>
      </c>
      <c r="I99" s="49"/>
      <c r="J99" s="298">
        <v>377915</v>
      </c>
      <c r="K99" s="298">
        <v>126706000</v>
      </c>
      <c r="L99" s="293">
        <v>126804000</v>
      </c>
      <c r="M99" s="150"/>
      <c r="N99" s="151"/>
      <c r="O99" s="150"/>
    </row>
    <row r="100" spans="1:15" ht="12.75">
      <c r="A100" s="323" t="s">
        <v>98</v>
      </c>
      <c r="B100" s="298">
        <v>89342</v>
      </c>
      <c r="C100" s="298">
        <v>4853000</v>
      </c>
      <c r="D100" s="293">
        <v>6407000</v>
      </c>
      <c r="E100" s="298">
        <f t="shared" si="6"/>
        <v>1554000</v>
      </c>
      <c r="F100" s="355">
        <f t="shared" si="7"/>
        <v>0.24254721398470422</v>
      </c>
      <c r="G100" s="298">
        <f t="shared" si="8"/>
        <v>71.71319200376082</v>
      </c>
      <c r="I100" s="49"/>
      <c r="J100" s="298">
        <v>89342</v>
      </c>
      <c r="K100" s="298">
        <v>4853000</v>
      </c>
      <c r="L100" s="293">
        <v>6407000</v>
      </c>
      <c r="M100" s="150"/>
      <c r="N100" s="151"/>
      <c r="O100" s="150"/>
    </row>
    <row r="101" spans="1:15" ht="12.75">
      <c r="A101" s="323" t="s">
        <v>93</v>
      </c>
      <c r="B101" s="298">
        <v>2724900</v>
      </c>
      <c r="C101" s="298">
        <v>14957000</v>
      </c>
      <c r="D101" s="293">
        <v>15460000</v>
      </c>
      <c r="E101" s="298">
        <f t="shared" si="6"/>
        <v>503000</v>
      </c>
      <c r="F101" s="355">
        <f t="shared" si="7"/>
        <v>0.032535575679172056</v>
      </c>
      <c r="G101" s="298">
        <f t="shared" si="8"/>
        <v>5.673602701016551</v>
      </c>
      <c r="I101" s="49"/>
      <c r="J101" s="298">
        <v>2724900</v>
      </c>
      <c r="K101" s="298">
        <v>14957000</v>
      </c>
      <c r="L101" s="293">
        <v>15460000</v>
      </c>
      <c r="M101" s="150"/>
      <c r="N101" s="151"/>
      <c r="O101" s="150"/>
    </row>
    <row r="102" spans="1:15" ht="12.75">
      <c r="A102" s="323" t="s">
        <v>107</v>
      </c>
      <c r="B102" s="298">
        <v>580367</v>
      </c>
      <c r="C102" s="298">
        <v>31441000</v>
      </c>
      <c r="D102" s="293">
        <v>40047000</v>
      </c>
      <c r="E102" s="298">
        <f t="shared" si="6"/>
        <v>8606000</v>
      </c>
      <c r="F102" s="355">
        <f t="shared" si="7"/>
        <v>0.21489749544285464</v>
      </c>
      <c r="G102" s="298">
        <f t="shared" si="8"/>
        <v>69.00288955092209</v>
      </c>
      <c r="I102" s="49"/>
      <c r="J102" s="298">
        <v>580367</v>
      </c>
      <c r="K102" s="298">
        <v>31441000</v>
      </c>
      <c r="L102" s="293">
        <v>40047000</v>
      </c>
      <c r="M102" s="150"/>
      <c r="N102" s="151"/>
      <c r="O102" s="150"/>
    </row>
    <row r="103" spans="1:15" ht="12.75">
      <c r="A103" s="321" t="s">
        <v>183</v>
      </c>
      <c r="B103" s="298">
        <v>726</v>
      </c>
      <c r="C103" s="298">
        <v>84000</v>
      </c>
      <c r="D103" s="293">
        <v>99000</v>
      </c>
      <c r="E103" s="298">
        <f aca="true" t="shared" si="9" ref="E103:E119">D103-C103</f>
        <v>15000</v>
      </c>
      <c r="F103" s="355">
        <f aca="true" t="shared" si="10" ref="F103:F119">E103/D103</f>
        <v>0.15151515151515152</v>
      </c>
      <c r="G103" s="298">
        <f aca="true" t="shared" si="11" ref="G103:G119">D103/B103</f>
        <v>136.36363636363637</v>
      </c>
      <c r="I103" s="49"/>
      <c r="J103" s="298">
        <v>726</v>
      </c>
      <c r="K103" s="298">
        <v>84000</v>
      </c>
      <c r="L103" s="293">
        <v>99000</v>
      </c>
      <c r="M103" s="150"/>
      <c r="N103" s="151"/>
      <c r="O103" s="150"/>
    </row>
    <row r="104" spans="1:15" ht="12.75">
      <c r="A104" s="321" t="s">
        <v>7</v>
      </c>
      <c r="B104" s="298">
        <v>17818</v>
      </c>
      <c r="C104" s="298">
        <v>2228000</v>
      </c>
      <c r="D104" s="293">
        <v>2789000</v>
      </c>
      <c r="E104" s="298">
        <f t="shared" si="9"/>
        <v>561000</v>
      </c>
      <c r="F104" s="355">
        <f t="shared" si="10"/>
        <v>0.2011473646468268</v>
      </c>
      <c r="G104" s="298">
        <f t="shared" si="11"/>
        <v>156.52710741946348</v>
      </c>
      <c r="I104" s="49"/>
      <c r="J104" s="298">
        <v>17818</v>
      </c>
      <c r="K104" s="298">
        <v>2228000</v>
      </c>
      <c r="L104" s="293">
        <v>2789000</v>
      </c>
      <c r="M104" s="150"/>
      <c r="N104" s="151"/>
      <c r="O104" s="150"/>
    </row>
    <row r="105" spans="1:15" ht="12.75">
      <c r="A105" s="323" t="s">
        <v>82</v>
      </c>
      <c r="B105" s="298">
        <v>199951</v>
      </c>
      <c r="C105" s="298">
        <v>4955000</v>
      </c>
      <c r="D105" s="293">
        <v>5509000</v>
      </c>
      <c r="E105" s="298">
        <f t="shared" si="9"/>
        <v>554000</v>
      </c>
      <c r="F105" s="355">
        <f t="shared" si="10"/>
        <v>0.10056271555636231</v>
      </c>
      <c r="G105" s="298">
        <f t="shared" si="11"/>
        <v>27.551750178793803</v>
      </c>
      <c r="I105" s="49"/>
      <c r="J105" s="298">
        <v>199951</v>
      </c>
      <c r="K105" s="298">
        <v>4955000</v>
      </c>
      <c r="L105" s="293">
        <v>5509000</v>
      </c>
      <c r="M105" s="150"/>
      <c r="N105" s="151"/>
      <c r="O105" s="150"/>
    </row>
    <row r="106" spans="1:15" ht="12.75">
      <c r="A106" s="323" t="s">
        <v>83</v>
      </c>
      <c r="B106" s="298">
        <v>236800</v>
      </c>
      <c r="C106" s="298">
        <v>5403000</v>
      </c>
      <c r="D106" s="293">
        <v>6368000</v>
      </c>
      <c r="E106" s="298">
        <f t="shared" si="9"/>
        <v>965000</v>
      </c>
      <c r="F106" s="355">
        <f t="shared" si="10"/>
        <v>0.1515389447236181</v>
      </c>
      <c r="G106" s="298">
        <f t="shared" si="11"/>
        <v>26.89189189189189</v>
      </c>
      <c r="I106" s="49"/>
      <c r="J106" s="298">
        <v>236800</v>
      </c>
      <c r="K106" s="298">
        <v>5403000</v>
      </c>
      <c r="L106" s="293">
        <v>6368000</v>
      </c>
      <c r="M106" s="150"/>
      <c r="N106" s="151"/>
      <c r="O106" s="150"/>
    </row>
    <row r="107" spans="1:15" ht="12.75">
      <c r="A107" s="323" t="s">
        <v>33</v>
      </c>
      <c r="B107" s="298">
        <v>64589</v>
      </c>
      <c r="C107" s="298">
        <v>2374000</v>
      </c>
      <c r="D107" s="293">
        <v>2218000</v>
      </c>
      <c r="E107" s="298">
        <f t="shared" si="9"/>
        <v>-156000</v>
      </c>
      <c r="F107" s="355">
        <f t="shared" si="10"/>
        <v>-0.0703336339044184</v>
      </c>
      <c r="G107" s="298">
        <f t="shared" si="11"/>
        <v>34.34021272972178</v>
      </c>
      <c r="I107" s="49"/>
      <c r="J107" s="298">
        <v>64589</v>
      </c>
      <c r="K107" s="298">
        <v>2374000</v>
      </c>
      <c r="L107" s="293">
        <v>2218000</v>
      </c>
      <c r="M107" s="150"/>
      <c r="N107" s="151"/>
      <c r="O107" s="150"/>
    </row>
    <row r="108" spans="1:15" ht="12.75">
      <c r="A108" s="323" t="s">
        <v>91</v>
      </c>
      <c r="B108" s="298">
        <v>10400</v>
      </c>
      <c r="C108" s="298">
        <v>3772000</v>
      </c>
      <c r="D108" s="293">
        <v>4125000</v>
      </c>
      <c r="E108" s="298">
        <f t="shared" si="9"/>
        <v>353000</v>
      </c>
      <c r="F108" s="355">
        <f t="shared" si="10"/>
        <v>0.08557575757575757</v>
      </c>
      <c r="G108" s="298">
        <f t="shared" si="11"/>
        <v>396.63461538461536</v>
      </c>
      <c r="I108" s="49"/>
      <c r="J108" s="298">
        <v>10400</v>
      </c>
      <c r="K108" s="298">
        <v>3772000</v>
      </c>
      <c r="L108" s="293">
        <v>4125000</v>
      </c>
      <c r="M108" s="150"/>
      <c r="N108" s="151"/>
      <c r="O108" s="150"/>
    </row>
    <row r="109" spans="1:15" ht="12.75">
      <c r="A109" s="321" t="s">
        <v>184</v>
      </c>
      <c r="B109" s="298">
        <v>111369</v>
      </c>
      <c r="C109" s="298">
        <v>2824000</v>
      </c>
      <c r="D109" s="293">
        <v>3685000</v>
      </c>
      <c r="E109" s="298">
        <f t="shared" si="9"/>
        <v>861000</v>
      </c>
      <c r="F109" s="355">
        <f t="shared" si="10"/>
        <v>0.23364993215739485</v>
      </c>
      <c r="G109" s="298">
        <f t="shared" si="11"/>
        <v>33.088202282502316</v>
      </c>
      <c r="I109" s="49"/>
      <c r="J109" s="298">
        <v>111369</v>
      </c>
      <c r="K109" s="298">
        <v>2824000</v>
      </c>
      <c r="L109" s="293">
        <v>3685000</v>
      </c>
      <c r="M109" s="150"/>
      <c r="N109" s="151"/>
      <c r="O109" s="150"/>
    </row>
    <row r="110" spans="1:15" ht="12.75">
      <c r="A110" s="323" t="s">
        <v>268</v>
      </c>
      <c r="B110" s="298">
        <v>1759540</v>
      </c>
      <c r="C110" s="298">
        <v>5346000</v>
      </c>
      <c r="D110" s="293">
        <v>6461000</v>
      </c>
      <c r="E110" s="298">
        <f t="shared" si="9"/>
        <v>1115000</v>
      </c>
      <c r="F110" s="355">
        <f t="shared" si="10"/>
        <v>0.17257390496827116</v>
      </c>
      <c r="G110" s="298">
        <f t="shared" si="11"/>
        <v>3.671982449958512</v>
      </c>
      <c r="I110" s="49"/>
      <c r="J110" s="298">
        <v>1759540</v>
      </c>
      <c r="K110" s="298">
        <v>5346000</v>
      </c>
      <c r="L110" s="293">
        <v>6461000</v>
      </c>
      <c r="M110" s="150"/>
      <c r="N110" s="151"/>
      <c r="O110" s="150"/>
    </row>
    <row r="111" spans="1:15" ht="12.75">
      <c r="A111" s="323" t="s">
        <v>47</v>
      </c>
      <c r="B111" s="298">
        <v>65300</v>
      </c>
      <c r="C111" s="298">
        <v>3501000</v>
      </c>
      <c r="D111" s="293">
        <v>3545000</v>
      </c>
      <c r="E111" s="298">
        <f t="shared" si="9"/>
        <v>44000</v>
      </c>
      <c r="F111" s="355">
        <f t="shared" si="10"/>
        <v>0.012411847672778562</v>
      </c>
      <c r="G111" s="298">
        <f t="shared" si="11"/>
        <v>54.28790199081164</v>
      </c>
      <c r="I111" s="49"/>
      <c r="J111" s="298">
        <v>65300</v>
      </c>
      <c r="K111" s="298">
        <v>3501000</v>
      </c>
      <c r="L111" s="293">
        <v>3545000</v>
      </c>
      <c r="M111" s="150"/>
      <c r="N111" s="151"/>
      <c r="O111" s="150"/>
    </row>
    <row r="112" spans="1:15" ht="12.75">
      <c r="A112" s="321" t="s">
        <v>8</v>
      </c>
      <c r="B112" s="298">
        <v>2586</v>
      </c>
      <c r="C112" s="298">
        <v>437000</v>
      </c>
      <c r="D112" s="293">
        <v>498000</v>
      </c>
      <c r="E112" s="298">
        <f t="shared" si="9"/>
        <v>61000</v>
      </c>
      <c r="F112" s="355">
        <f t="shared" si="10"/>
        <v>0.12248995983935743</v>
      </c>
      <c r="G112" s="298">
        <f t="shared" si="11"/>
        <v>192.5754060324826</v>
      </c>
      <c r="I112" s="49"/>
      <c r="J112" s="298">
        <v>2586</v>
      </c>
      <c r="K112" s="298">
        <v>437000</v>
      </c>
      <c r="L112" s="293">
        <v>498000</v>
      </c>
      <c r="M112" s="150"/>
      <c r="N112" s="151"/>
      <c r="O112" s="150"/>
    </row>
    <row r="113" spans="1:15" ht="12.75">
      <c r="A113" s="323" t="s">
        <v>77</v>
      </c>
      <c r="B113" s="298">
        <v>25713</v>
      </c>
      <c r="C113" s="298">
        <v>2012000</v>
      </c>
      <c r="D113" s="293">
        <v>2072000</v>
      </c>
      <c r="E113" s="298">
        <f t="shared" si="9"/>
        <v>60000</v>
      </c>
      <c r="F113" s="355">
        <f t="shared" si="10"/>
        <v>0.02895752895752896</v>
      </c>
      <c r="G113" s="298">
        <f t="shared" si="11"/>
        <v>80.58180686812118</v>
      </c>
      <c r="I113" s="49"/>
      <c r="J113" s="298">
        <v>25713</v>
      </c>
      <c r="K113" s="298">
        <v>2012000</v>
      </c>
      <c r="L113" s="293">
        <v>2072000</v>
      </c>
      <c r="M113" s="150"/>
      <c r="N113" s="151"/>
      <c r="O113" s="150"/>
    </row>
    <row r="114" spans="1:15" ht="12.75">
      <c r="A114" s="323" t="s">
        <v>116</v>
      </c>
      <c r="B114" s="298">
        <v>587041</v>
      </c>
      <c r="C114" s="298">
        <v>15275000</v>
      </c>
      <c r="D114" s="293">
        <v>21282000</v>
      </c>
      <c r="E114" s="298">
        <f t="shared" si="9"/>
        <v>6007000</v>
      </c>
      <c r="F114" s="355">
        <f t="shared" si="10"/>
        <v>0.2822573066441124</v>
      </c>
      <c r="G114" s="298">
        <f t="shared" si="11"/>
        <v>36.253004474985566</v>
      </c>
      <c r="I114" s="49"/>
      <c r="J114" s="298">
        <v>587041</v>
      </c>
      <c r="K114" s="298">
        <v>15275000</v>
      </c>
      <c r="L114" s="293">
        <v>21282000</v>
      </c>
      <c r="M114" s="150"/>
      <c r="N114" s="151"/>
      <c r="O114" s="150"/>
    </row>
    <row r="115" spans="1:15" ht="12.75">
      <c r="A115" s="323" t="s">
        <v>106</v>
      </c>
      <c r="B115" s="298">
        <v>118484</v>
      </c>
      <c r="C115" s="298">
        <v>11831000</v>
      </c>
      <c r="D115" s="293">
        <v>15448000</v>
      </c>
      <c r="E115" s="298">
        <f t="shared" si="9"/>
        <v>3617000</v>
      </c>
      <c r="F115" s="355">
        <f t="shared" si="10"/>
        <v>0.23414034179181772</v>
      </c>
      <c r="G115" s="298">
        <f t="shared" si="11"/>
        <v>130.38047331285236</v>
      </c>
      <c r="I115" s="49"/>
      <c r="J115" s="298">
        <v>118484</v>
      </c>
      <c r="K115" s="298">
        <v>11831000</v>
      </c>
      <c r="L115" s="293">
        <v>15448000</v>
      </c>
      <c r="M115" s="150"/>
      <c r="N115" s="151"/>
      <c r="O115" s="150"/>
    </row>
    <row r="116" spans="1:15" ht="12.75">
      <c r="A116" s="323" t="s">
        <v>9</v>
      </c>
      <c r="B116" s="298">
        <v>329847</v>
      </c>
      <c r="C116" s="298">
        <v>23274000</v>
      </c>
      <c r="D116" s="293">
        <v>28275000</v>
      </c>
      <c r="E116" s="298">
        <f t="shared" si="9"/>
        <v>5001000</v>
      </c>
      <c r="F116" s="355">
        <f t="shared" si="10"/>
        <v>0.17687002652519893</v>
      </c>
      <c r="G116" s="298">
        <f t="shared" si="11"/>
        <v>85.72156181502334</v>
      </c>
      <c r="I116" s="49"/>
      <c r="J116" s="298">
        <v>329847</v>
      </c>
      <c r="K116" s="298">
        <v>23274000</v>
      </c>
      <c r="L116" s="293">
        <v>28275000</v>
      </c>
      <c r="M116" s="150"/>
      <c r="N116" s="151"/>
      <c r="O116" s="150"/>
    </row>
    <row r="117" spans="1:15" ht="12.75">
      <c r="A117" s="323" t="s">
        <v>56</v>
      </c>
      <c r="B117" s="298">
        <v>298</v>
      </c>
      <c r="C117" s="298">
        <v>272000</v>
      </c>
      <c r="D117" s="293">
        <v>396000</v>
      </c>
      <c r="E117" s="298">
        <f t="shared" si="9"/>
        <v>124000</v>
      </c>
      <c r="F117" s="355">
        <f t="shared" si="10"/>
        <v>0.31313131313131315</v>
      </c>
      <c r="G117" s="298">
        <f t="shared" si="11"/>
        <v>1328.8590604026845</v>
      </c>
      <c r="I117" s="49"/>
      <c r="J117" s="298">
        <v>298</v>
      </c>
      <c r="K117" s="298">
        <v>272000</v>
      </c>
      <c r="L117" s="293">
        <v>396000</v>
      </c>
      <c r="M117" s="150"/>
      <c r="N117" s="151"/>
      <c r="O117" s="150"/>
    </row>
    <row r="118" spans="1:15" ht="12.75">
      <c r="A118" s="323" t="s">
        <v>149</v>
      </c>
      <c r="B118" s="298">
        <v>1240192</v>
      </c>
      <c r="C118" s="298">
        <v>10523000</v>
      </c>
      <c r="D118" s="293">
        <v>13796000</v>
      </c>
      <c r="E118" s="298">
        <f t="shared" si="9"/>
        <v>3273000</v>
      </c>
      <c r="F118" s="355">
        <f t="shared" si="10"/>
        <v>0.23724267903740215</v>
      </c>
      <c r="G118" s="298">
        <f t="shared" si="11"/>
        <v>11.124084012798019</v>
      </c>
      <c r="I118" s="49"/>
      <c r="J118" s="298">
        <v>1240192</v>
      </c>
      <c r="K118" s="298">
        <v>10523000</v>
      </c>
      <c r="L118" s="293">
        <v>13796000</v>
      </c>
      <c r="M118" s="150"/>
      <c r="N118" s="151"/>
      <c r="O118" s="150"/>
    </row>
    <row r="119" spans="1:15" ht="12.75">
      <c r="A119" s="323" t="s">
        <v>26</v>
      </c>
      <c r="B119" s="298">
        <v>316</v>
      </c>
      <c r="C119" s="298">
        <v>389000</v>
      </c>
      <c r="D119" s="293">
        <v>407000</v>
      </c>
      <c r="E119" s="298">
        <f t="shared" si="9"/>
        <v>18000</v>
      </c>
      <c r="F119" s="355">
        <f t="shared" si="10"/>
        <v>0.044226044226044224</v>
      </c>
      <c r="G119" s="298">
        <f t="shared" si="11"/>
        <v>1287.9746835443038</v>
      </c>
      <c r="I119" s="49"/>
      <c r="J119" s="298">
        <v>316</v>
      </c>
      <c r="K119" s="298">
        <v>389000</v>
      </c>
      <c r="L119" s="293">
        <v>407000</v>
      </c>
      <c r="M119" s="150"/>
      <c r="N119" s="151"/>
      <c r="O119" s="150"/>
    </row>
    <row r="120" spans="1:15" ht="12.75">
      <c r="A120" s="321" t="s">
        <v>169</v>
      </c>
      <c r="B120" s="298">
        <v>1100</v>
      </c>
      <c r="C120" s="298">
        <v>385000</v>
      </c>
      <c r="D120" s="293">
        <v>426000</v>
      </c>
      <c r="E120" s="298">
        <f aca="true" t="shared" si="12" ref="E120:E125">D120-C120</f>
        <v>41000</v>
      </c>
      <c r="F120" s="355">
        <f aca="true" t="shared" si="13" ref="F120:F125">E120/D120</f>
        <v>0.09624413145539906</v>
      </c>
      <c r="G120" s="298">
        <f aca="true" t="shared" si="14" ref="G120:G125">D120/B120</f>
        <v>387.27272727272725</v>
      </c>
      <c r="I120" s="49"/>
      <c r="J120" s="298">
        <v>1100</v>
      </c>
      <c r="K120" s="298">
        <v>385000</v>
      </c>
      <c r="L120" s="293">
        <v>426000</v>
      </c>
      <c r="M120" s="150"/>
      <c r="N120" s="151"/>
      <c r="O120" s="150"/>
    </row>
    <row r="121" spans="1:15" ht="12.75">
      <c r="A121" s="323" t="s">
        <v>153</v>
      </c>
      <c r="B121" s="298">
        <v>1025520</v>
      </c>
      <c r="C121" s="298">
        <v>2604000</v>
      </c>
      <c r="D121" s="293">
        <v>3205000</v>
      </c>
      <c r="E121" s="298">
        <f t="shared" si="12"/>
        <v>601000</v>
      </c>
      <c r="F121" s="355">
        <f t="shared" si="13"/>
        <v>0.1875195007800312</v>
      </c>
      <c r="G121" s="298">
        <f t="shared" si="14"/>
        <v>3.125243778765894</v>
      </c>
      <c r="I121" s="49"/>
      <c r="J121" s="298">
        <v>1025520</v>
      </c>
      <c r="K121" s="298">
        <v>2604000</v>
      </c>
      <c r="L121" s="293">
        <v>3205000</v>
      </c>
      <c r="M121" s="150"/>
      <c r="N121" s="151"/>
      <c r="O121" s="150"/>
    </row>
    <row r="122" spans="1:15" ht="12.75">
      <c r="A122" s="323" t="s">
        <v>21</v>
      </c>
      <c r="B122" s="298">
        <v>2040</v>
      </c>
      <c r="C122" s="298">
        <v>1195000</v>
      </c>
      <c r="D122" s="293">
        <v>1294000</v>
      </c>
      <c r="E122" s="298">
        <f t="shared" si="12"/>
        <v>99000</v>
      </c>
      <c r="F122" s="355">
        <f t="shared" si="13"/>
        <v>0.07650695517774343</v>
      </c>
      <c r="G122" s="298">
        <f t="shared" si="14"/>
        <v>634.3137254901961</v>
      </c>
      <c r="I122" s="49"/>
      <c r="J122" s="298">
        <v>2040</v>
      </c>
      <c r="K122" s="298">
        <v>1195000</v>
      </c>
      <c r="L122" s="293">
        <v>1294000</v>
      </c>
      <c r="M122" s="150"/>
      <c r="N122" s="151"/>
      <c r="O122" s="150"/>
    </row>
    <row r="123" spans="1:15" ht="12.75">
      <c r="A123" s="323" t="s">
        <v>52</v>
      </c>
      <c r="B123" s="298">
        <v>1964375</v>
      </c>
      <c r="C123" s="298">
        <v>99531000</v>
      </c>
      <c r="D123" s="293">
        <v>112469000</v>
      </c>
      <c r="E123" s="298">
        <f t="shared" si="12"/>
        <v>12938000</v>
      </c>
      <c r="F123" s="355">
        <f t="shared" si="13"/>
        <v>0.11503614329281847</v>
      </c>
      <c r="G123" s="298">
        <f t="shared" si="14"/>
        <v>57.2543429844098</v>
      </c>
      <c r="I123" s="49"/>
      <c r="J123" s="298">
        <v>1964375</v>
      </c>
      <c r="K123" s="298">
        <v>99531000</v>
      </c>
      <c r="L123" s="293">
        <v>112469000</v>
      </c>
      <c r="M123" s="150"/>
      <c r="N123" s="151"/>
      <c r="O123" s="150"/>
    </row>
    <row r="124" spans="1:15" ht="12.75">
      <c r="A124" s="323" t="s">
        <v>88</v>
      </c>
      <c r="B124" s="298">
        <v>33851</v>
      </c>
      <c r="C124" s="298">
        <v>4100000</v>
      </c>
      <c r="D124" s="293">
        <v>4317000</v>
      </c>
      <c r="E124" s="298">
        <f t="shared" si="12"/>
        <v>217000</v>
      </c>
      <c r="F124" s="355">
        <f t="shared" si="13"/>
        <v>0.0502663886958536</v>
      </c>
      <c r="G124" s="298">
        <f t="shared" si="14"/>
        <v>127.52946737171723</v>
      </c>
      <c r="I124" s="49"/>
      <c r="J124" s="298">
        <v>33851</v>
      </c>
      <c r="K124" s="298">
        <v>4100000</v>
      </c>
      <c r="L124" s="293">
        <v>4317000</v>
      </c>
      <c r="M124" s="150"/>
      <c r="N124" s="151"/>
      <c r="O124" s="150"/>
    </row>
    <row r="125" spans="1:15" ht="12.75">
      <c r="A125" s="323" t="s">
        <v>136</v>
      </c>
      <c r="B125" s="298">
        <v>1564100</v>
      </c>
      <c r="C125" s="298">
        <v>2389000</v>
      </c>
      <c r="D125" s="293">
        <v>3087000</v>
      </c>
      <c r="E125" s="298">
        <f t="shared" si="12"/>
        <v>698000</v>
      </c>
      <c r="F125" s="355">
        <f t="shared" si="13"/>
        <v>0.22610949141561387</v>
      </c>
      <c r="G125" s="298">
        <f t="shared" si="14"/>
        <v>1.9736589732114316</v>
      </c>
      <c r="I125" s="49"/>
      <c r="J125" s="298">
        <v>1564100</v>
      </c>
      <c r="K125" s="298">
        <v>2389000</v>
      </c>
      <c r="L125" s="293">
        <v>3087000</v>
      </c>
      <c r="M125" s="150"/>
      <c r="N125" s="151"/>
      <c r="O125" s="150"/>
    </row>
    <row r="126" spans="1:15" ht="12.75">
      <c r="A126" s="321" t="s">
        <v>239</v>
      </c>
      <c r="B126" s="342"/>
      <c r="C126" s="342"/>
      <c r="D126" s="293">
        <v>667000</v>
      </c>
      <c r="E126" s="342"/>
      <c r="F126" s="356"/>
      <c r="G126" s="342"/>
      <c r="I126" s="49"/>
      <c r="J126" s="342"/>
      <c r="K126" s="342"/>
      <c r="L126" s="293"/>
      <c r="M126" s="150"/>
      <c r="N126" s="151"/>
      <c r="O126" s="150"/>
    </row>
    <row r="127" spans="1:15" ht="12.75">
      <c r="A127" s="323" t="s">
        <v>60</v>
      </c>
      <c r="B127" s="298">
        <v>446550</v>
      </c>
      <c r="C127" s="298">
        <v>28827000</v>
      </c>
      <c r="D127" s="293">
        <v>31627000</v>
      </c>
      <c r="E127" s="298">
        <f aca="true" t="shared" si="15" ref="E127:E162">D127-C127</f>
        <v>2800000</v>
      </c>
      <c r="F127" s="355">
        <f aca="true" t="shared" si="16" ref="F127:F162">E127/D127</f>
        <v>0.08853195054858191</v>
      </c>
      <c r="G127" s="298">
        <f aca="true" t="shared" si="17" ref="G127:G140">D127/B127</f>
        <v>70.82521554137274</v>
      </c>
      <c r="I127" s="49"/>
      <c r="J127" s="298">
        <v>446550</v>
      </c>
      <c r="K127" s="298">
        <v>28827000</v>
      </c>
      <c r="L127" s="293">
        <v>31627000</v>
      </c>
      <c r="M127" s="150"/>
      <c r="N127" s="151"/>
      <c r="O127" s="150"/>
    </row>
    <row r="128" spans="1:15" ht="12.75">
      <c r="A128" s="323" t="s">
        <v>110</v>
      </c>
      <c r="B128" s="298">
        <v>801590</v>
      </c>
      <c r="C128" s="298">
        <v>18249000</v>
      </c>
      <c r="D128" s="293">
        <v>22061000</v>
      </c>
      <c r="E128" s="298">
        <f t="shared" si="15"/>
        <v>3812000</v>
      </c>
      <c r="F128" s="355">
        <f t="shared" si="16"/>
        <v>0.1727936176963873</v>
      </c>
      <c r="G128" s="298">
        <f t="shared" si="17"/>
        <v>27.521550917551366</v>
      </c>
      <c r="I128" s="49"/>
      <c r="J128" s="298">
        <v>801590</v>
      </c>
      <c r="K128" s="298">
        <v>18249000</v>
      </c>
      <c r="L128" s="293">
        <v>22061000</v>
      </c>
      <c r="M128" s="150"/>
      <c r="N128" s="151"/>
      <c r="O128" s="150"/>
    </row>
    <row r="129" spans="1:15" ht="12.75">
      <c r="A129" s="323" t="s">
        <v>270</v>
      </c>
      <c r="B129" s="298">
        <v>676578</v>
      </c>
      <c r="C129" s="298">
        <v>46610000</v>
      </c>
      <c r="D129" s="293">
        <v>53414000</v>
      </c>
      <c r="E129" s="298">
        <f t="shared" si="15"/>
        <v>6804000</v>
      </c>
      <c r="F129" s="355">
        <f t="shared" si="16"/>
        <v>0.12738233421949302</v>
      </c>
      <c r="G129" s="298">
        <f t="shared" si="17"/>
        <v>78.94729063020081</v>
      </c>
      <c r="I129" s="49"/>
      <c r="J129" s="298">
        <v>676578</v>
      </c>
      <c r="K129" s="298">
        <v>46610000</v>
      </c>
      <c r="L129" s="293">
        <v>53414000</v>
      </c>
      <c r="M129" s="150"/>
      <c r="N129" s="151"/>
      <c r="O129" s="150"/>
    </row>
    <row r="130" spans="1:15" ht="12.75">
      <c r="A130" s="323" t="s">
        <v>84</v>
      </c>
      <c r="B130" s="298">
        <v>824292</v>
      </c>
      <c r="C130" s="298">
        <v>1824000</v>
      </c>
      <c r="D130" s="293">
        <v>2128000</v>
      </c>
      <c r="E130" s="298">
        <f t="shared" si="15"/>
        <v>304000</v>
      </c>
      <c r="F130" s="355">
        <f t="shared" si="16"/>
        <v>0.14285714285714285</v>
      </c>
      <c r="G130" s="298">
        <f t="shared" si="17"/>
        <v>2.581609429668127</v>
      </c>
      <c r="I130" s="49"/>
      <c r="J130" s="298">
        <v>824292</v>
      </c>
      <c r="K130" s="298">
        <v>1824000</v>
      </c>
      <c r="L130" s="293">
        <v>2128000</v>
      </c>
      <c r="M130" s="150"/>
      <c r="N130" s="151"/>
      <c r="O130" s="150"/>
    </row>
    <row r="131" spans="1:15" ht="12.75">
      <c r="A131" s="323" t="s">
        <v>48</v>
      </c>
      <c r="B131" s="298">
        <v>147181</v>
      </c>
      <c r="C131" s="298">
        <v>24432000</v>
      </c>
      <c r="D131" s="293">
        <v>28952000</v>
      </c>
      <c r="E131" s="298">
        <f t="shared" si="15"/>
        <v>4520000</v>
      </c>
      <c r="F131" s="355">
        <f t="shared" si="16"/>
        <v>0.15612047526941145</v>
      </c>
      <c r="G131" s="298">
        <f t="shared" si="17"/>
        <v>196.7101731881153</v>
      </c>
      <c r="I131" s="49"/>
      <c r="J131" s="298">
        <v>147181</v>
      </c>
      <c r="K131" s="298">
        <v>24432000</v>
      </c>
      <c r="L131" s="293">
        <v>28952000</v>
      </c>
      <c r="M131" s="150"/>
      <c r="N131" s="151"/>
      <c r="O131" s="150"/>
    </row>
    <row r="132" spans="1:15" ht="12.75">
      <c r="A132" s="323" t="s">
        <v>55</v>
      </c>
      <c r="B132" s="298">
        <v>41543</v>
      </c>
      <c r="C132" s="298">
        <v>15915000</v>
      </c>
      <c r="D132" s="293">
        <v>16783000</v>
      </c>
      <c r="E132" s="298">
        <f t="shared" si="15"/>
        <v>868000</v>
      </c>
      <c r="F132" s="355">
        <f t="shared" si="16"/>
        <v>0.05171900137043437</v>
      </c>
      <c r="G132" s="298">
        <f t="shared" si="17"/>
        <v>403.9910454228149</v>
      </c>
      <c r="I132" s="49"/>
      <c r="J132" s="298">
        <v>41543</v>
      </c>
      <c r="K132" s="298">
        <v>15915000</v>
      </c>
      <c r="L132" s="293">
        <v>16783000</v>
      </c>
      <c r="M132" s="150"/>
      <c r="N132" s="151"/>
      <c r="O132" s="150"/>
    </row>
    <row r="133" spans="1:15" ht="12.75">
      <c r="A133" s="321" t="s">
        <v>159</v>
      </c>
      <c r="B133" s="298">
        <v>800</v>
      </c>
      <c r="C133" s="298">
        <v>181000</v>
      </c>
      <c r="D133" s="293">
        <v>229000</v>
      </c>
      <c r="E133" s="298">
        <f t="shared" si="15"/>
        <v>48000</v>
      </c>
      <c r="F133" s="355">
        <f t="shared" si="16"/>
        <v>0.2096069868995633</v>
      </c>
      <c r="G133" s="298">
        <f t="shared" si="17"/>
        <v>286.25</v>
      </c>
      <c r="I133" s="49"/>
      <c r="J133" s="298">
        <v>800</v>
      </c>
      <c r="K133" s="298">
        <v>181000</v>
      </c>
      <c r="L133" s="293">
        <v>229000</v>
      </c>
      <c r="M133" s="150"/>
      <c r="N133" s="151"/>
      <c r="O133" s="150"/>
    </row>
    <row r="134" spans="1:15" ht="12.75">
      <c r="A134" s="321" t="s">
        <v>162</v>
      </c>
      <c r="B134" s="298">
        <v>19060</v>
      </c>
      <c r="C134" s="298">
        <v>215000</v>
      </c>
      <c r="D134" s="293">
        <v>252000</v>
      </c>
      <c r="E134" s="298">
        <f t="shared" si="15"/>
        <v>37000</v>
      </c>
      <c r="F134" s="355">
        <f t="shared" si="16"/>
        <v>0.14682539682539683</v>
      </c>
      <c r="G134" s="298">
        <f t="shared" si="17"/>
        <v>13.221406086044071</v>
      </c>
      <c r="I134" s="49"/>
      <c r="J134" s="298">
        <v>19060</v>
      </c>
      <c r="K134" s="298">
        <v>215000</v>
      </c>
      <c r="L134" s="293">
        <v>252000</v>
      </c>
      <c r="M134" s="150"/>
      <c r="N134" s="151"/>
      <c r="O134" s="150"/>
    </row>
    <row r="135" spans="1:15" ht="12.75">
      <c r="A135" s="323" t="s">
        <v>10</v>
      </c>
      <c r="B135" s="298">
        <v>270467</v>
      </c>
      <c r="C135" s="298">
        <v>3868000</v>
      </c>
      <c r="D135" s="293">
        <v>4250000</v>
      </c>
      <c r="E135" s="298">
        <f t="shared" si="15"/>
        <v>382000</v>
      </c>
      <c r="F135" s="355">
        <f t="shared" si="16"/>
        <v>0.08988235294117647</v>
      </c>
      <c r="G135" s="298">
        <f t="shared" si="17"/>
        <v>15.713562098148758</v>
      </c>
      <c r="I135" s="49"/>
      <c r="J135" s="298">
        <v>270467</v>
      </c>
      <c r="K135" s="298">
        <v>3868000</v>
      </c>
      <c r="L135" s="293">
        <v>4250000</v>
      </c>
      <c r="M135" s="150"/>
      <c r="N135" s="151"/>
      <c r="O135" s="150"/>
    </row>
    <row r="136" spans="1:15" ht="12.75">
      <c r="A136" s="323" t="s">
        <v>94</v>
      </c>
      <c r="B136" s="298">
        <v>120340</v>
      </c>
      <c r="C136" s="298">
        <v>5101000</v>
      </c>
      <c r="D136" s="293">
        <v>5996000</v>
      </c>
      <c r="E136" s="298">
        <f t="shared" si="15"/>
        <v>895000</v>
      </c>
      <c r="F136" s="355">
        <f t="shared" si="16"/>
        <v>0.14926617745163442</v>
      </c>
      <c r="G136" s="298">
        <f t="shared" si="17"/>
        <v>49.82549443244142</v>
      </c>
      <c r="I136" s="49"/>
      <c r="J136" s="298">
        <v>120340</v>
      </c>
      <c r="K136" s="298">
        <v>5101000</v>
      </c>
      <c r="L136" s="293">
        <v>5996000</v>
      </c>
      <c r="M136" s="150"/>
      <c r="N136" s="151"/>
      <c r="O136" s="150"/>
    </row>
    <row r="137" spans="1:15" ht="12.75">
      <c r="A137" s="323" t="s">
        <v>150</v>
      </c>
      <c r="B137" s="298">
        <v>1267000</v>
      </c>
      <c r="C137" s="298">
        <v>11031000</v>
      </c>
      <c r="D137" s="293">
        <v>15878000</v>
      </c>
      <c r="E137" s="298">
        <f t="shared" si="15"/>
        <v>4847000</v>
      </c>
      <c r="F137" s="355">
        <f t="shared" si="16"/>
        <v>0.3052651467439224</v>
      </c>
      <c r="G137" s="298">
        <f t="shared" si="17"/>
        <v>12.531965272296764</v>
      </c>
      <c r="I137" s="49"/>
      <c r="J137" s="298">
        <v>1267000</v>
      </c>
      <c r="K137" s="298">
        <v>11031000</v>
      </c>
      <c r="L137" s="293">
        <v>15878000</v>
      </c>
      <c r="M137" s="150"/>
      <c r="N137" s="151"/>
      <c r="O137" s="150"/>
    </row>
    <row r="138" spans="1:15" ht="12.75">
      <c r="A138" s="323" t="s">
        <v>146</v>
      </c>
      <c r="B138" s="298">
        <v>923768</v>
      </c>
      <c r="C138" s="298">
        <v>124842000</v>
      </c>
      <c r="D138" s="293">
        <v>152217000</v>
      </c>
      <c r="E138" s="298">
        <f t="shared" si="15"/>
        <v>27375000</v>
      </c>
      <c r="F138" s="355">
        <f t="shared" si="16"/>
        <v>0.17984193618321212</v>
      </c>
      <c r="G138" s="298">
        <f t="shared" si="17"/>
        <v>164.77838591507825</v>
      </c>
      <c r="I138" s="49"/>
      <c r="J138" s="298">
        <v>923768</v>
      </c>
      <c r="K138" s="298">
        <v>124842000</v>
      </c>
      <c r="L138" s="293">
        <v>152217000</v>
      </c>
      <c r="M138" s="150"/>
      <c r="N138" s="151"/>
      <c r="O138" s="150"/>
    </row>
    <row r="139" spans="1:15" ht="12.75">
      <c r="A139" s="323" t="s">
        <v>140</v>
      </c>
      <c r="B139" s="298">
        <v>120538</v>
      </c>
      <c r="C139" s="298">
        <v>22859000</v>
      </c>
      <c r="D139" s="293">
        <v>22757000</v>
      </c>
      <c r="E139" s="298">
        <f t="shared" si="15"/>
        <v>-102000</v>
      </c>
      <c r="F139" s="355">
        <f t="shared" si="16"/>
        <v>-0.0044821373643274594</v>
      </c>
      <c r="G139" s="298">
        <f t="shared" si="17"/>
        <v>188.79523469777166</v>
      </c>
      <c r="I139" s="49"/>
      <c r="J139" s="298">
        <v>120538</v>
      </c>
      <c r="K139" s="298">
        <v>22859000</v>
      </c>
      <c r="L139" s="293">
        <v>22757000</v>
      </c>
      <c r="M139" s="150"/>
      <c r="N139" s="151"/>
      <c r="O139" s="150"/>
    </row>
    <row r="140" spans="1:15" ht="12.75">
      <c r="A140" s="323" t="s">
        <v>20</v>
      </c>
      <c r="B140" s="298">
        <v>386224</v>
      </c>
      <c r="C140" s="298">
        <v>4484000</v>
      </c>
      <c r="D140" s="293">
        <v>4676000</v>
      </c>
      <c r="E140" s="298">
        <f t="shared" si="15"/>
        <v>192000</v>
      </c>
      <c r="F140" s="355">
        <f t="shared" si="16"/>
        <v>0.041060735671514116</v>
      </c>
      <c r="G140" s="298">
        <f t="shared" si="17"/>
        <v>12.10696383445876</v>
      </c>
      <c r="I140" s="49"/>
      <c r="J140" s="298">
        <v>386224</v>
      </c>
      <c r="K140" s="298">
        <v>4484000</v>
      </c>
      <c r="L140" s="293">
        <v>4676000</v>
      </c>
      <c r="M140" s="150"/>
      <c r="N140" s="151"/>
      <c r="O140" s="150"/>
    </row>
    <row r="141" spans="1:15" ht="12.75">
      <c r="A141" s="321" t="s">
        <v>197</v>
      </c>
      <c r="B141" s="342"/>
      <c r="C141" s="298">
        <v>3149000</v>
      </c>
      <c r="D141" s="293">
        <v>4119000</v>
      </c>
      <c r="E141" s="298">
        <f t="shared" si="15"/>
        <v>970000</v>
      </c>
      <c r="F141" s="355">
        <f t="shared" si="16"/>
        <v>0.23549405195435785</v>
      </c>
      <c r="G141" s="342"/>
      <c r="I141" s="49"/>
      <c r="J141" s="342"/>
      <c r="K141" s="298"/>
      <c r="L141" s="293"/>
      <c r="M141" s="150"/>
      <c r="N141" s="151"/>
      <c r="O141" s="150"/>
    </row>
    <row r="142" spans="1:15" ht="12.75">
      <c r="A142" s="323" t="s">
        <v>11</v>
      </c>
      <c r="B142" s="298">
        <v>309500</v>
      </c>
      <c r="C142" s="298">
        <v>2402000</v>
      </c>
      <c r="D142" s="293">
        <v>2968000</v>
      </c>
      <c r="E142" s="298">
        <f t="shared" si="15"/>
        <v>566000</v>
      </c>
      <c r="F142" s="355">
        <f t="shared" si="16"/>
        <v>0.19070080862533692</v>
      </c>
      <c r="G142" s="298">
        <f aca="true" t="shared" si="18" ref="G142:G162">D142/B142</f>
        <v>9.589660743134088</v>
      </c>
      <c r="I142" s="49"/>
      <c r="J142" s="298">
        <v>309500</v>
      </c>
      <c r="K142" s="298">
        <v>2402000</v>
      </c>
      <c r="L142" s="293">
        <v>2968000</v>
      </c>
      <c r="M142" s="150"/>
      <c r="N142" s="151"/>
      <c r="O142" s="150"/>
    </row>
    <row r="143" spans="1:15" ht="12.75">
      <c r="A143" s="323" t="s">
        <v>120</v>
      </c>
      <c r="B143" s="298">
        <v>796095</v>
      </c>
      <c r="C143" s="298">
        <v>148132000</v>
      </c>
      <c r="D143" s="293">
        <v>184405000</v>
      </c>
      <c r="E143" s="298">
        <f t="shared" si="15"/>
        <v>36273000</v>
      </c>
      <c r="F143" s="355">
        <f t="shared" si="16"/>
        <v>0.19670290935712156</v>
      </c>
      <c r="G143" s="298">
        <f t="shared" si="18"/>
        <v>231.63692775359723</v>
      </c>
      <c r="I143" s="49"/>
      <c r="J143" s="298">
        <v>796095</v>
      </c>
      <c r="K143" s="298">
        <v>148132000</v>
      </c>
      <c r="L143" s="293">
        <v>184405000</v>
      </c>
      <c r="M143" s="150"/>
      <c r="N143" s="151"/>
      <c r="O143" s="150"/>
    </row>
    <row r="144" spans="1:15" ht="12.75">
      <c r="A144" s="323" t="s">
        <v>36</v>
      </c>
      <c r="B144" s="298">
        <v>75517</v>
      </c>
      <c r="C144" s="298">
        <v>2951000</v>
      </c>
      <c r="D144" s="293">
        <v>3411000</v>
      </c>
      <c r="E144" s="298">
        <f t="shared" si="15"/>
        <v>460000</v>
      </c>
      <c r="F144" s="355">
        <f t="shared" si="16"/>
        <v>0.1348578129580768</v>
      </c>
      <c r="G144" s="298">
        <f t="shared" si="18"/>
        <v>45.16863752532542</v>
      </c>
      <c r="I144" s="49"/>
      <c r="J144" s="298">
        <v>75517</v>
      </c>
      <c r="K144" s="298">
        <v>2951000</v>
      </c>
      <c r="L144" s="293">
        <v>3411000</v>
      </c>
      <c r="M144" s="150"/>
      <c r="N144" s="151"/>
      <c r="O144" s="150"/>
    </row>
    <row r="145" spans="1:15" ht="12.75">
      <c r="A145" s="323" t="s">
        <v>132</v>
      </c>
      <c r="B145" s="298">
        <v>462840</v>
      </c>
      <c r="C145" s="298">
        <v>5388000</v>
      </c>
      <c r="D145" s="293">
        <v>6065000</v>
      </c>
      <c r="E145" s="298">
        <f t="shared" si="15"/>
        <v>677000</v>
      </c>
      <c r="F145" s="355">
        <f t="shared" si="16"/>
        <v>0.11162407254740313</v>
      </c>
      <c r="G145" s="298">
        <f t="shared" si="18"/>
        <v>13.103880390631751</v>
      </c>
      <c r="I145" s="49"/>
      <c r="J145" s="298">
        <v>462840</v>
      </c>
      <c r="K145" s="298">
        <v>5388000</v>
      </c>
      <c r="L145" s="293">
        <v>6065000</v>
      </c>
      <c r="M145" s="150"/>
      <c r="N145" s="151"/>
      <c r="O145" s="150"/>
    </row>
    <row r="146" spans="1:15" ht="12.75">
      <c r="A146" s="323" t="s">
        <v>67</v>
      </c>
      <c r="B146" s="298">
        <v>406752</v>
      </c>
      <c r="C146" s="298">
        <v>5350000</v>
      </c>
      <c r="D146" s="293">
        <v>6376000</v>
      </c>
      <c r="E146" s="298">
        <f t="shared" si="15"/>
        <v>1026000</v>
      </c>
      <c r="F146" s="355">
        <f t="shared" si="16"/>
        <v>0.1609159347553325</v>
      </c>
      <c r="G146" s="298">
        <f t="shared" si="18"/>
        <v>15.675399260483045</v>
      </c>
      <c r="I146" s="49"/>
      <c r="J146" s="298">
        <v>406752</v>
      </c>
      <c r="K146" s="298">
        <v>5350000</v>
      </c>
      <c r="L146" s="293">
        <v>6376000</v>
      </c>
      <c r="M146" s="150"/>
      <c r="N146" s="151"/>
      <c r="O146" s="150"/>
    </row>
    <row r="147" spans="1:15" ht="12.75">
      <c r="A147" s="323" t="s">
        <v>41</v>
      </c>
      <c r="B147" s="298">
        <v>1285216</v>
      </c>
      <c r="C147" s="298">
        <v>26004000</v>
      </c>
      <c r="D147" s="293">
        <v>29907000</v>
      </c>
      <c r="E147" s="298">
        <f t="shared" si="15"/>
        <v>3903000</v>
      </c>
      <c r="F147" s="355">
        <f t="shared" si="16"/>
        <v>0.13050456414886147</v>
      </c>
      <c r="G147" s="298">
        <f t="shared" si="18"/>
        <v>23.270018424918458</v>
      </c>
      <c r="I147" s="49"/>
      <c r="J147" s="298">
        <v>1285216</v>
      </c>
      <c r="K147" s="298">
        <v>26004000</v>
      </c>
      <c r="L147" s="293">
        <v>29907000</v>
      </c>
      <c r="M147" s="150"/>
      <c r="N147" s="151"/>
      <c r="O147" s="150"/>
    </row>
    <row r="148" spans="1:15" ht="12.75">
      <c r="A148" s="323" t="s">
        <v>58</v>
      </c>
      <c r="B148" s="298">
        <v>300000</v>
      </c>
      <c r="C148" s="298">
        <v>77689000</v>
      </c>
      <c r="D148" s="293">
        <v>99900000</v>
      </c>
      <c r="E148" s="298">
        <f t="shared" si="15"/>
        <v>22211000</v>
      </c>
      <c r="F148" s="355">
        <f t="shared" si="16"/>
        <v>0.22233233233233232</v>
      </c>
      <c r="G148" s="298">
        <f t="shared" si="18"/>
        <v>333</v>
      </c>
      <c r="I148" s="49"/>
      <c r="J148" s="298">
        <v>300000</v>
      </c>
      <c r="K148" s="298">
        <v>77689000</v>
      </c>
      <c r="L148" s="293">
        <v>99900000</v>
      </c>
      <c r="M148" s="150"/>
      <c r="N148" s="151"/>
      <c r="O148" s="150"/>
    </row>
    <row r="149" spans="1:15" ht="12.75">
      <c r="A149" s="323" t="s">
        <v>69</v>
      </c>
      <c r="B149" s="298">
        <v>312685</v>
      </c>
      <c r="C149" s="298">
        <v>38433000</v>
      </c>
      <c r="D149" s="293">
        <v>38464000</v>
      </c>
      <c r="E149" s="298">
        <f t="shared" si="15"/>
        <v>31000</v>
      </c>
      <c r="F149" s="355">
        <f t="shared" si="16"/>
        <v>0.0008059484193011648</v>
      </c>
      <c r="G149" s="298">
        <f t="shared" si="18"/>
        <v>123.01197690966947</v>
      </c>
      <c r="I149" s="49"/>
      <c r="J149" s="298">
        <v>312685</v>
      </c>
      <c r="K149" s="298">
        <v>38433000</v>
      </c>
      <c r="L149" s="293">
        <v>38464000</v>
      </c>
      <c r="M149" s="150"/>
      <c r="N149" s="151"/>
      <c r="O149" s="150"/>
    </row>
    <row r="150" spans="1:15" ht="12.75">
      <c r="A150" s="323" t="s">
        <v>32</v>
      </c>
      <c r="B150" s="298">
        <v>92090</v>
      </c>
      <c r="C150" s="298">
        <v>10226000</v>
      </c>
      <c r="D150" s="293">
        <v>10736000</v>
      </c>
      <c r="E150" s="298">
        <f t="shared" si="15"/>
        <v>510000</v>
      </c>
      <c r="F150" s="355">
        <f t="shared" si="16"/>
        <v>0.047503725782414304</v>
      </c>
      <c r="G150" s="298">
        <f t="shared" si="18"/>
        <v>116.5816049516777</v>
      </c>
      <c r="I150" s="49"/>
      <c r="J150" s="298">
        <v>92090</v>
      </c>
      <c r="K150" s="298">
        <v>10226000</v>
      </c>
      <c r="L150" s="293">
        <v>10736000</v>
      </c>
      <c r="M150" s="150"/>
      <c r="N150" s="151"/>
      <c r="O150" s="150"/>
    </row>
    <row r="151" spans="1:15" ht="12.75">
      <c r="A151" s="321" t="s">
        <v>12</v>
      </c>
      <c r="B151" s="298">
        <v>11586</v>
      </c>
      <c r="C151" s="298">
        <v>617000</v>
      </c>
      <c r="D151" s="293">
        <v>841000</v>
      </c>
      <c r="E151" s="298">
        <f t="shared" si="15"/>
        <v>224000</v>
      </c>
      <c r="F151" s="355">
        <f t="shared" si="16"/>
        <v>0.26634958382877527</v>
      </c>
      <c r="G151" s="298">
        <f t="shared" si="18"/>
        <v>72.58760573105472</v>
      </c>
      <c r="I151" s="49"/>
      <c r="J151" s="298">
        <v>11586</v>
      </c>
      <c r="K151" s="298">
        <v>617000</v>
      </c>
      <c r="L151" s="293">
        <v>841000</v>
      </c>
      <c r="M151" s="150"/>
      <c r="N151" s="151"/>
      <c r="O151" s="150"/>
    </row>
    <row r="152" spans="1:15" ht="12.75">
      <c r="A152" s="321" t="s">
        <v>172</v>
      </c>
      <c r="B152" s="298">
        <v>2510</v>
      </c>
      <c r="C152" s="298">
        <v>724000</v>
      </c>
      <c r="D152" s="293">
        <v>766000</v>
      </c>
      <c r="E152" s="298">
        <f t="shared" si="15"/>
        <v>42000</v>
      </c>
      <c r="F152" s="355">
        <f t="shared" si="16"/>
        <v>0.05483028720626632</v>
      </c>
      <c r="G152" s="298">
        <f t="shared" si="18"/>
        <v>305.1792828685259</v>
      </c>
      <c r="I152" s="49"/>
      <c r="J152" s="298">
        <v>2510</v>
      </c>
      <c r="K152" s="298">
        <v>724000</v>
      </c>
      <c r="L152" s="293">
        <v>766000</v>
      </c>
      <c r="M152" s="150"/>
      <c r="N152" s="151"/>
      <c r="O152" s="150"/>
    </row>
    <row r="153" spans="1:15" ht="12.75">
      <c r="A153" s="323" t="s">
        <v>54</v>
      </c>
      <c r="B153" s="298">
        <v>238391</v>
      </c>
      <c r="C153" s="298">
        <v>22138000</v>
      </c>
      <c r="D153" s="293">
        <v>21959000</v>
      </c>
      <c r="E153" s="298">
        <f t="shared" si="15"/>
        <v>-179000</v>
      </c>
      <c r="F153" s="355">
        <f t="shared" si="16"/>
        <v>-0.008151555171000502</v>
      </c>
      <c r="G153" s="298">
        <f t="shared" si="18"/>
        <v>92.11337676338452</v>
      </c>
      <c r="I153" s="49"/>
      <c r="J153" s="298">
        <v>238391</v>
      </c>
      <c r="K153" s="298">
        <v>22138000</v>
      </c>
      <c r="L153" s="293">
        <v>21959000</v>
      </c>
      <c r="M153" s="150"/>
      <c r="N153" s="151"/>
      <c r="O153" s="150"/>
    </row>
    <row r="154" spans="1:15" ht="12.75">
      <c r="A154" s="323" t="s">
        <v>74</v>
      </c>
      <c r="B154" s="298">
        <v>17098242</v>
      </c>
      <c r="C154" s="298">
        <v>146670000</v>
      </c>
      <c r="D154" s="293">
        <v>139390000</v>
      </c>
      <c r="E154" s="298">
        <f t="shared" si="15"/>
        <v>-7280000</v>
      </c>
      <c r="F154" s="355">
        <f t="shared" si="16"/>
        <v>-0.05222756295286606</v>
      </c>
      <c r="G154" s="298">
        <f t="shared" si="18"/>
        <v>8.152300101963698</v>
      </c>
      <c r="I154" s="49"/>
      <c r="J154" s="298">
        <v>17098242</v>
      </c>
      <c r="K154" s="298">
        <v>146670000</v>
      </c>
      <c r="L154" s="293">
        <v>139390000</v>
      </c>
      <c r="M154" s="150"/>
      <c r="N154" s="151"/>
      <c r="O154" s="150"/>
    </row>
    <row r="155" spans="1:15" ht="12.75">
      <c r="A155" s="323" t="s">
        <v>129</v>
      </c>
      <c r="B155" s="298">
        <v>26338</v>
      </c>
      <c r="C155" s="298">
        <v>7958000</v>
      </c>
      <c r="D155" s="293">
        <v>11056000</v>
      </c>
      <c r="E155" s="298">
        <f t="shared" si="15"/>
        <v>3098000</v>
      </c>
      <c r="F155" s="355">
        <f t="shared" si="16"/>
        <v>0.28020984081041966</v>
      </c>
      <c r="G155" s="298">
        <f t="shared" si="18"/>
        <v>419.77371098792617</v>
      </c>
      <c r="I155" s="49"/>
      <c r="J155" s="298">
        <v>26338</v>
      </c>
      <c r="K155" s="298">
        <v>7958000</v>
      </c>
      <c r="L155" s="293">
        <v>11056000</v>
      </c>
      <c r="M155" s="150"/>
      <c r="N155" s="151"/>
      <c r="O155" s="150"/>
    </row>
    <row r="156" spans="1:15" ht="12.75">
      <c r="A156" s="321" t="s">
        <v>174</v>
      </c>
      <c r="B156" s="298">
        <v>261</v>
      </c>
      <c r="C156" s="298">
        <v>46000</v>
      </c>
      <c r="D156" s="293">
        <v>50000</v>
      </c>
      <c r="E156" s="298">
        <f t="shared" si="15"/>
        <v>4000</v>
      </c>
      <c r="F156" s="355">
        <f t="shared" si="16"/>
        <v>0.08</v>
      </c>
      <c r="G156" s="298">
        <f t="shared" si="18"/>
        <v>191.57088122605364</v>
      </c>
      <c r="I156" s="49"/>
      <c r="J156" s="298">
        <v>261</v>
      </c>
      <c r="K156" s="298">
        <v>46000</v>
      </c>
      <c r="L156" s="293">
        <v>50000</v>
      </c>
      <c r="M156" s="150"/>
      <c r="N156" s="151"/>
      <c r="O156" s="150"/>
    </row>
    <row r="157" spans="1:15" ht="12.75">
      <c r="A157" s="321" t="s">
        <v>175</v>
      </c>
      <c r="B157" s="298">
        <v>539</v>
      </c>
      <c r="C157" s="298">
        <v>157000</v>
      </c>
      <c r="D157" s="293">
        <v>161000</v>
      </c>
      <c r="E157" s="298">
        <f t="shared" si="15"/>
        <v>4000</v>
      </c>
      <c r="F157" s="355">
        <f t="shared" si="16"/>
        <v>0.024844720496894408</v>
      </c>
      <c r="G157" s="298">
        <f t="shared" si="18"/>
        <v>298.7012987012987</v>
      </c>
      <c r="I157" s="49"/>
      <c r="J157" s="298">
        <v>539</v>
      </c>
      <c r="K157" s="298">
        <v>157000</v>
      </c>
      <c r="L157" s="293">
        <v>161000</v>
      </c>
      <c r="M157" s="150"/>
      <c r="N157" s="151"/>
      <c r="O157" s="150"/>
    </row>
    <row r="158" spans="1:15" ht="12.75">
      <c r="A158" s="321" t="s">
        <v>198</v>
      </c>
      <c r="B158" s="298">
        <v>389</v>
      </c>
      <c r="C158" s="298">
        <v>177000</v>
      </c>
      <c r="D158" s="293">
        <v>104000</v>
      </c>
      <c r="E158" s="298">
        <f t="shared" si="15"/>
        <v>-73000</v>
      </c>
      <c r="F158" s="355">
        <f t="shared" si="16"/>
        <v>-0.7019230769230769</v>
      </c>
      <c r="G158" s="298">
        <f t="shared" si="18"/>
        <v>267.3521850899743</v>
      </c>
      <c r="I158" s="49"/>
      <c r="J158" s="298">
        <v>389</v>
      </c>
      <c r="K158" s="298">
        <v>177000</v>
      </c>
      <c r="L158" s="293">
        <v>104000</v>
      </c>
      <c r="M158" s="150"/>
      <c r="N158" s="151"/>
      <c r="O158" s="150"/>
    </row>
    <row r="159" spans="1:15" ht="12.75">
      <c r="A159" s="321" t="s">
        <v>179</v>
      </c>
      <c r="B159" s="298">
        <v>2831</v>
      </c>
      <c r="C159" s="298">
        <v>58000</v>
      </c>
      <c r="D159" s="293">
        <v>192000</v>
      </c>
      <c r="E159" s="298">
        <f t="shared" si="15"/>
        <v>134000</v>
      </c>
      <c r="F159" s="355">
        <f t="shared" si="16"/>
        <v>0.6979166666666666</v>
      </c>
      <c r="G159" s="298">
        <f t="shared" si="18"/>
        <v>67.82055810667609</v>
      </c>
      <c r="I159" s="49"/>
      <c r="J159" s="298">
        <v>2831</v>
      </c>
      <c r="K159" s="298">
        <v>58000</v>
      </c>
      <c r="L159" s="293">
        <v>192000</v>
      </c>
      <c r="M159" s="150"/>
      <c r="N159" s="151"/>
      <c r="O159" s="150"/>
    </row>
    <row r="160" spans="1:15" ht="12.75">
      <c r="A160" s="323" t="s">
        <v>92</v>
      </c>
      <c r="B160" s="298">
        <v>964</v>
      </c>
      <c r="C160" s="298">
        <v>140000</v>
      </c>
      <c r="D160" s="293">
        <v>176000</v>
      </c>
      <c r="E160" s="298">
        <f t="shared" si="15"/>
        <v>36000</v>
      </c>
      <c r="F160" s="355">
        <f t="shared" si="16"/>
        <v>0.20454545454545456</v>
      </c>
      <c r="G160" s="298">
        <f t="shared" si="18"/>
        <v>182.57261410788382</v>
      </c>
      <c r="I160" s="49"/>
      <c r="J160" s="298">
        <v>964</v>
      </c>
      <c r="K160" s="298">
        <v>140000</v>
      </c>
      <c r="L160" s="293">
        <v>176000</v>
      </c>
      <c r="M160" s="150"/>
      <c r="N160" s="151"/>
      <c r="O160" s="150"/>
    </row>
    <row r="161" spans="1:15" ht="12.75">
      <c r="A161" s="323" t="s">
        <v>99</v>
      </c>
      <c r="B161" s="298">
        <v>2000000</v>
      </c>
      <c r="C161" s="298">
        <v>20808000</v>
      </c>
      <c r="D161" s="293">
        <v>25732000</v>
      </c>
      <c r="E161" s="298">
        <f t="shared" si="15"/>
        <v>4924000</v>
      </c>
      <c r="F161" s="355">
        <f t="shared" si="16"/>
        <v>0.19135706513290843</v>
      </c>
      <c r="G161" s="298">
        <f t="shared" si="18"/>
        <v>12.866</v>
      </c>
      <c r="I161" s="49"/>
      <c r="J161" s="298">
        <v>2000000</v>
      </c>
      <c r="K161" s="298">
        <v>20808000</v>
      </c>
      <c r="L161" s="293">
        <v>25732000</v>
      </c>
      <c r="M161" s="150"/>
      <c r="N161" s="151"/>
      <c r="O161" s="150"/>
    </row>
    <row r="162" spans="1:15" ht="12.75">
      <c r="A162" s="323" t="s">
        <v>137</v>
      </c>
      <c r="B162" s="298">
        <v>196722</v>
      </c>
      <c r="C162" s="298">
        <v>9902000</v>
      </c>
      <c r="D162" s="293">
        <v>12323000</v>
      </c>
      <c r="E162" s="298">
        <f t="shared" si="15"/>
        <v>2421000</v>
      </c>
      <c r="F162" s="355">
        <f t="shared" si="16"/>
        <v>0.19646190051123916</v>
      </c>
      <c r="G162" s="298">
        <f t="shared" si="18"/>
        <v>62.64169742072569</v>
      </c>
      <c r="I162" s="49"/>
      <c r="J162" s="298">
        <v>196722</v>
      </c>
      <c r="K162" s="298">
        <v>9902000</v>
      </c>
      <c r="L162" s="293">
        <v>12323000</v>
      </c>
      <c r="M162" s="150"/>
      <c r="N162" s="151"/>
      <c r="O162" s="150"/>
    </row>
    <row r="163" spans="1:15" ht="12.75">
      <c r="A163" s="323" t="s">
        <v>238</v>
      </c>
      <c r="B163" s="342"/>
      <c r="C163" s="342"/>
      <c r="D163" s="293">
        <v>9160000</v>
      </c>
      <c r="E163" s="342"/>
      <c r="F163" s="356"/>
      <c r="G163" s="343"/>
      <c r="I163" s="49"/>
      <c r="J163" s="342"/>
      <c r="K163" s="342"/>
      <c r="L163" s="293"/>
      <c r="M163" s="150"/>
      <c r="N163" s="151"/>
      <c r="O163" s="150"/>
    </row>
    <row r="164" spans="1:15" ht="12.75">
      <c r="A164" s="321" t="s">
        <v>166</v>
      </c>
      <c r="B164" s="298">
        <v>455</v>
      </c>
      <c r="C164" s="298">
        <v>81000</v>
      </c>
      <c r="D164" s="293">
        <v>88000</v>
      </c>
      <c r="E164" s="298">
        <f aca="true" t="shared" si="19" ref="E164:E206">D164-C164</f>
        <v>7000</v>
      </c>
      <c r="F164" s="355">
        <f aca="true" t="shared" si="20" ref="F164:F206">E164/D164</f>
        <v>0.07954545454545454</v>
      </c>
      <c r="G164" s="298">
        <f aca="true" t="shared" si="21" ref="G164:G206">D164/B164</f>
        <v>193.4065934065934</v>
      </c>
      <c r="I164" s="49"/>
      <c r="J164" s="298">
        <v>455</v>
      </c>
      <c r="K164" s="298">
        <v>81000</v>
      </c>
      <c r="L164" s="293">
        <v>88000</v>
      </c>
      <c r="M164" s="150"/>
      <c r="N164" s="151"/>
      <c r="O164" s="150"/>
    </row>
    <row r="165" spans="1:15" ht="12.75">
      <c r="A165" s="323" t="s">
        <v>155</v>
      </c>
      <c r="B165" s="298">
        <v>71740</v>
      </c>
      <c r="C165" s="298">
        <v>4228000</v>
      </c>
      <c r="D165" s="293">
        <v>5246000</v>
      </c>
      <c r="E165" s="298">
        <f t="shared" si="19"/>
        <v>1018000</v>
      </c>
      <c r="F165" s="355">
        <f t="shared" si="20"/>
        <v>0.19405261151353412</v>
      </c>
      <c r="G165" s="298">
        <f t="shared" si="21"/>
        <v>73.12517424031223</v>
      </c>
      <c r="I165" s="95"/>
      <c r="J165" s="298">
        <v>71740</v>
      </c>
      <c r="K165" s="298">
        <v>4228000</v>
      </c>
      <c r="L165" s="293">
        <v>5246000</v>
      </c>
      <c r="M165" s="252"/>
      <c r="N165" s="151"/>
      <c r="O165" s="150"/>
    </row>
    <row r="166" spans="1:15" ht="12.75">
      <c r="A166" s="323" t="s">
        <v>13</v>
      </c>
      <c r="B166" s="298">
        <v>699</v>
      </c>
      <c r="C166" s="298">
        <v>4018000</v>
      </c>
      <c r="D166" s="293">
        <v>4701000</v>
      </c>
      <c r="E166" s="298">
        <f t="shared" si="19"/>
        <v>683000</v>
      </c>
      <c r="F166" s="355">
        <f t="shared" si="20"/>
        <v>0.14528823654541587</v>
      </c>
      <c r="G166" s="298">
        <f t="shared" si="21"/>
        <v>6725.321888412017</v>
      </c>
      <c r="I166" s="49"/>
      <c r="J166" s="298">
        <v>699</v>
      </c>
      <c r="K166" s="298">
        <v>4018000</v>
      </c>
      <c r="L166" s="293">
        <v>4701000</v>
      </c>
      <c r="M166" s="81"/>
      <c r="N166" s="253"/>
      <c r="O166" s="150"/>
    </row>
    <row r="167" spans="1:15" ht="12.75">
      <c r="A167" s="323" t="s">
        <v>27</v>
      </c>
      <c r="B167" s="298">
        <v>49035</v>
      </c>
      <c r="C167" s="298">
        <v>5379000</v>
      </c>
      <c r="D167" s="293">
        <v>5470000</v>
      </c>
      <c r="E167" s="298">
        <f t="shared" si="19"/>
        <v>91000</v>
      </c>
      <c r="F167" s="355">
        <f t="shared" si="20"/>
        <v>0.016636197440585008</v>
      </c>
      <c r="G167" s="298">
        <f t="shared" si="21"/>
        <v>111.55297236667687</v>
      </c>
      <c r="I167" s="49"/>
      <c r="J167" s="298">
        <v>49035</v>
      </c>
      <c r="K167" s="298">
        <v>5379000</v>
      </c>
      <c r="L167" s="293">
        <v>5470000</v>
      </c>
      <c r="M167" s="81"/>
      <c r="N167" s="254"/>
      <c r="O167" s="150"/>
    </row>
    <row r="168" spans="1:15" ht="12.75">
      <c r="A168" s="323" t="s">
        <v>62</v>
      </c>
      <c r="B168" s="298">
        <v>20273</v>
      </c>
      <c r="C168" s="298">
        <v>1985000</v>
      </c>
      <c r="D168" s="293">
        <v>2003000</v>
      </c>
      <c r="E168" s="298">
        <f t="shared" si="19"/>
        <v>18000</v>
      </c>
      <c r="F168" s="355">
        <f t="shared" si="20"/>
        <v>0.008986520219670495</v>
      </c>
      <c r="G168" s="298">
        <f t="shared" si="21"/>
        <v>98.80136141666256</v>
      </c>
      <c r="I168" s="49"/>
      <c r="J168" s="298">
        <v>20273</v>
      </c>
      <c r="K168" s="298">
        <v>1985000</v>
      </c>
      <c r="L168" s="293">
        <v>2003000</v>
      </c>
      <c r="M168" s="81"/>
      <c r="N168" s="254"/>
      <c r="O168" s="150"/>
    </row>
    <row r="169" spans="1:15" ht="12.75">
      <c r="A169" s="323" t="s">
        <v>111</v>
      </c>
      <c r="B169" s="298">
        <v>28896</v>
      </c>
      <c r="C169" s="298">
        <v>416000</v>
      </c>
      <c r="D169" s="293">
        <v>559000</v>
      </c>
      <c r="E169" s="298">
        <f t="shared" si="19"/>
        <v>143000</v>
      </c>
      <c r="F169" s="355">
        <f t="shared" si="20"/>
        <v>0.2558139534883721</v>
      </c>
      <c r="G169" s="298">
        <f t="shared" si="21"/>
        <v>19.345238095238095</v>
      </c>
      <c r="I169" s="49"/>
      <c r="J169" s="298">
        <v>28896</v>
      </c>
      <c r="K169" s="298">
        <v>416000</v>
      </c>
      <c r="L169" s="293">
        <v>559000</v>
      </c>
      <c r="M169" s="150"/>
      <c r="N169" s="254"/>
      <c r="O169" s="150"/>
    </row>
    <row r="170" spans="1:15" ht="12.75">
      <c r="A170" s="321" t="s">
        <v>188</v>
      </c>
      <c r="B170" s="298">
        <v>637657</v>
      </c>
      <c r="C170" s="298">
        <v>7394000</v>
      </c>
      <c r="D170" s="293">
        <v>10112000</v>
      </c>
      <c r="E170" s="298">
        <f t="shared" si="19"/>
        <v>2718000</v>
      </c>
      <c r="F170" s="355">
        <f t="shared" si="20"/>
        <v>0.26878955696202533</v>
      </c>
      <c r="G170" s="298">
        <f t="shared" si="21"/>
        <v>15.858055349506083</v>
      </c>
      <c r="I170" s="49"/>
      <c r="J170" s="298">
        <v>637657</v>
      </c>
      <c r="K170" s="298">
        <v>7394000</v>
      </c>
      <c r="L170" s="293">
        <v>10112000</v>
      </c>
      <c r="M170" s="150"/>
      <c r="N170" s="151"/>
      <c r="O170" s="150"/>
    </row>
    <row r="171" spans="1:15" ht="12.75">
      <c r="A171" s="323" t="s">
        <v>112</v>
      </c>
      <c r="B171" s="298">
        <v>1221037</v>
      </c>
      <c r="C171" s="298">
        <v>44872000</v>
      </c>
      <c r="D171" s="293">
        <v>49109000</v>
      </c>
      <c r="E171" s="298">
        <f t="shared" si="19"/>
        <v>4237000</v>
      </c>
      <c r="F171" s="355">
        <f t="shared" si="20"/>
        <v>0.08627746441589118</v>
      </c>
      <c r="G171" s="298">
        <f t="shared" si="21"/>
        <v>40.21909245993365</v>
      </c>
      <c r="I171" s="49"/>
      <c r="J171" s="298">
        <v>1221037</v>
      </c>
      <c r="K171" s="298">
        <v>44872000</v>
      </c>
      <c r="L171" s="293">
        <v>49109000</v>
      </c>
      <c r="M171" s="150"/>
      <c r="N171" s="151"/>
      <c r="O171" s="150"/>
    </row>
    <row r="172" spans="1:15" ht="12.75">
      <c r="A172" s="323" t="s">
        <v>95</v>
      </c>
      <c r="B172" s="298">
        <v>99678</v>
      </c>
      <c r="C172" s="298">
        <v>46429000</v>
      </c>
      <c r="D172" s="293">
        <v>48636000</v>
      </c>
      <c r="E172" s="298">
        <f t="shared" si="19"/>
        <v>2207000</v>
      </c>
      <c r="F172" s="355">
        <f t="shared" si="20"/>
        <v>0.045377909367546675</v>
      </c>
      <c r="G172" s="298">
        <f t="shared" si="21"/>
        <v>487.931138265214</v>
      </c>
      <c r="I172" s="49"/>
      <c r="J172" s="298">
        <v>99678</v>
      </c>
      <c r="K172" s="298">
        <v>46429000</v>
      </c>
      <c r="L172" s="293">
        <v>48636000</v>
      </c>
      <c r="M172" s="150"/>
      <c r="N172" s="151"/>
      <c r="O172" s="150"/>
    </row>
    <row r="173" spans="1:15" ht="12.75">
      <c r="A173" s="323" t="s">
        <v>37</v>
      </c>
      <c r="B173" s="298">
        <v>505992</v>
      </c>
      <c r="C173" s="298">
        <v>40264000</v>
      </c>
      <c r="D173" s="293">
        <v>46506000</v>
      </c>
      <c r="E173" s="298">
        <f t="shared" si="19"/>
        <v>6242000</v>
      </c>
      <c r="F173" s="355">
        <f t="shared" si="20"/>
        <v>0.1342192405281039</v>
      </c>
      <c r="G173" s="298">
        <f t="shared" si="21"/>
        <v>91.91054404022198</v>
      </c>
      <c r="I173" s="49"/>
      <c r="J173" s="298">
        <v>505992</v>
      </c>
      <c r="K173" s="298">
        <v>40264000</v>
      </c>
      <c r="L173" s="293">
        <v>46506000</v>
      </c>
      <c r="M173" s="150"/>
      <c r="N173" s="151"/>
      <c r="O173" s="150"/>
    </row>
    <row r="174" spans="1:15" ht="12.75">
      <c r="A174" s="323" t="s">
        <v>65</v>
      </c>
      <c r="B174" s="298">
        <v>65610</v>
      </c>
      <c r="C174" s="298">
        <v>18767000</v>
      </c>
      <c r="D174" s="293">
        <v>21514000</v>
      </c>
      <c r="E174" s="298">
        <f t="shared" si="19"/>
        <v>2747000</v>
      </c>
      <c r="F174" s="355">
        <f t="shared" si="20"/>
        <v>0.1276842985962629</v>
      </c>
      <c r="G174" s="298">
        <f t="shared" si="21"/>
        <v>327.90733119951227</v>
      </c>
      <c r="I174" s="49"/>
      <c r="J174" s="298">
        <v>65610</v>
      </c>
      <c r="K174" s="298">
        <v>18767000</v>
      </c>
      <c r="L174" s="293">
        <v>21514000</v>
      </c>
      <c r="M174" s="150"/>
      <c r="N174" s="151"/>
      <c r="O174" s="150"/>
    </row>
    <row r="175" spans="1:15" ht="12.75">
      <c r="A175" s="323" t="s">
        <v>124</v>
      </c>
      <c r="B175" s="298">
        <v>2505813</v>
      </c>
      <c r="C175" s="298">
        <v>34904000</v>
      </c>
      <c r="D175" s="293">
        <v>43940000</v>
      </c>
      <c r="E175" s="298">
        <f t="shared" si="19"/>
        <v>9036000</v>
      </c>
      <c r="F175" s="355">
        <f t="shared" si="20"/>
        <v>0.2056440600819299</v>
      </c>
      <c r="G175" s="298">
        <f t="shared" si="21"/>
        <v>17.5352270899704</v>
      </c>
      <c r="I175" s="49"/>
      <c r="J175" s="298">
        <v>2505813</v>
      </c>
      <c r="K175" s="298">
        <v>34904000</v>
      </c>
      <c r="L175" s="293">
        <v>43940000</v>
      </c>
      <c r="M175" s="150"/>
      <c r="N175" s="151"/>
      <c r="O175" s="150"/>
    </row>
    <row r="176" spans="1:15" ht="12.75">
      <c r="A176" s="323" t="s">
        <v>49</v>
      </c>
      <c r="B176" s="298">
        <v>163820</v>
      </c>
      <c r="C176" s="298">
        <v>467000</v>
      </c>
      <c r="D176" s="293">
        <v>487000</v>
      </c>
      <c r="E176" s="298">
        <f t="shared" si="19"/>
        <v>20000</v>
      </c>
      <c r="F176" s="355">
        <f t="shared" si="20"/>
        <v>0.04106776180698152</v>
      </c>
      <c r="G176" s="298">
        <f t="shared" si="21"/>
        <v>2.9727749969478694</v>
      </c>
      <c r="I176" s="49"/>
      <c r="J176" s="298">
        <v>163820</v>
      </c>
      <c r="K176" s="298">
        <v>467000</v>
      </c>
      <c r="L176" s="293">
        <v>487000</v>
      </c>
      <c r="M176" s="150"/>
      <c r="N176" s="151"/>
      <c r="O176" s="150"/>
    </row>
    <row r="177" spans="1:15" ht="12.75">
      <c r="A177" s="323" t="s">
        <v>101</v>
      </c>
      <c r="B177" s="298">
        <v>17364</v>
      </c>
      <c r="C177" s="298">
        <v>1080000</v>
      </c>
      <c r="D177" s="293">
        <v>1354000</v>
      </c>
      <c r="E177" s="298">
        <f t="shared" si="19"/>
        <v>274000</v>
      </c>
      <c r="F177" s="355">
        <f t="shared" si="20"/>
        <v>0.20236336779911374</v>
      </c>
      <c r="G177" s="298">
        <f t="shared" si="21"/>
        <v>77.97742455655379</v>
      </c>
      <c r="I177" s="49"/>
      <c r="J177" s="298">
        <v>17364</v>
      </c>
      <c r="K177" s="298">
        <v>1080000</v>
      </c>
      <c r="L177" s="293">
        <v>1354000</v>
      </c>
      <c r="M177" s="150"/>
      <c r="N177" s="151"/>
      <c r="O177" s="150"/>
    </row>
    <row r="178" spans="1:15" ht="12.75">
      <c r="A178" s="323" t="s">
        <v>19</v>
      </c>
      <c r="B178" s="298">
        <v>531796</v>
      </c>
      <c r="C178" s="298">
        <v>8860000</v>
      </c>
      <c r="D178" s="293">
        <v>9074000</v>
      </c>
      <c r="E178" s="298">
        <f t="shared" si="19"/>
        <v>214000</v>
      </c>
      <c r="F178" s="355">
        <f t="shared" si="20"/>
        <v>0.023583865990742782</v>
      </c>
      <c r="G178" s="298">
        <f t="shared" si="21"/>
        <v>17.06293390698689</v>
      </c>
      <c r="I178" s="49"/>
      <c r="J178" s="298">
        <v>531796</v>
      </c>
      <c r="K178" s="298">
        <v>8860000</v>
      </c>
      <c r="L178" s="293">
        <v>9074000</v>
      </c>
      <c r="M178" s="150"/>
      <c r="N178" s="151"/>
      <c r="O178" s="150"/>
    </row>
    <row r="179" spans="1:15" ht="12.75">
      <c r="A179" s="323" t="s">
        <v>17</v>
      </c>
      <c r="B179" s="298">
        <v>41277</v>
      </c>
      <c r="C179" s="298">
        <v>7184000</v>
      </c>
      <c r="D179" s="293">
        <v>7658000</v>
      </c>
      <c r="E179" s="298">
        <f t="shared" si="19"/>
        <v>474000</v>
      </c>
      <c r="F179" s="355">
        <f t="shared" si="20"/>
        <v>0.061896056411595714</v>
      </c>
      <c r="G179" s="298">
        <f t="shared" si="21"/>
        <v>185.5270489618916</v>
      </c>
      <c r="I179" s="49"/>
      <c r="J179" s="298">
        <v>41277</v>
      </c>
      <c r="K179" s="298">
        <v>7184000</v>
      </c>
      <c r="L179" s="293">
        <v>7658000</v>
      </c>
      <c r="M179" s="150"/>
      <c r="N179" s="151"/>
      <c r="O179" s="150"/>
    </row>
    <row r="180" spans="1:15" ht="12.75">
      <c r="A180" s="323" t="s">
        <v>63</v>
      </c>
      <c r="B180" s="298">
        <v>185180</v>
      </c>
      <c r="C180" s="298">
        <v>16511000</v>
      </c>
      <c r="D180" s="293">
        <v>22198000</v>
      </c>
      <c r="E180" s="298">
        <f t="shared" si="19"/>
        <v>5687000</v>
      </c>
      <c r="F180" s="355">
        <f t="shared" si="20"/>
        <v>0.2561942517343905</v>
      </c>
      <c r="G180" s="298">
        <f t="shared" si="21"/>
        <v>119.87255643158008</v>
      </c>
      <c r="I180" s="49"/>
      <c r="J180" s="298">
        <v>185180</v>
      </c>
      <c r="K180" s="298">
        <v>16511000</v>
      </c>
      <c r="L180" s="293">
        <v>22198000</v>
      </c>
      <c r="M180" s="150"/>
      <c r="N180" s="151"/>
      <c r="O180" s="150"/>
    </row>
    <row r="181" spans="1:15" ht="12.75">
      <c r="A181" s="321" t="s">
        <v>192</v>
      </c>
      <c r="B181" s="298">
        <v>36188</v>
      </c>
      <c r="C181" s="298">
        <v>23000000</v>
      </c>
      <c r="D181" s="293">
        <v>23025000</v>
      </c>
      <c r="E181" s="298">
        <f t="shared" si="19"/>
        <v>25000</v>
      </c>
      <c r="F181" s="355">
        <f t="shared" si="20"/>
        <v>0.0010857763300760044</v>
      </c>
      <c r="G181" s="298">
        <f t="shared" si="21"/>
        <v>636.2606388858185</v>
      </c>
      <c r="I181" s="49"/>
      <c r="J181" s="298">
        <v>36188</v>
      </c>
      <c r="K181" s="298">
        <v>23000000</v>
      </c>
      <c r="L181" s="293">
        <v>23025000</v>
      </c>
      <c r="M181" s="150"/>
      <c r="N181" s="151"/>
      <c r="O181" s="150"/>
    </row>
    <row r="182" spans="1:15" ht="12.75">
      <c r="A182" s="323" t="s">
        <v>109</v>
      </c>
      <c r="B182" s="298">
        <v>143100</v>
      </c>
      <c r="C182" s="298">
        <v>6173000</v>
      </c>
      <c r="D182" s="293">
        <v>7487000</v>
      </c>
      <c r="E182" s="298">
        <f t="shared" si="19"/>
        <v>1314000</v>
      </c>
      <c r="F182" s="355">
        <f t="shared" si="20"/>
        <v>0.17550420729264057</v>
      </c>
      <c r="G182" s="298">
        <f t="shared" si="21"/>
        <v>52.32005590496156</v>
      </c>
      <c r="I182" s="49"/>
      <c r="J182" s="298">
        <v>143100</v>
      </c>
      <c r="K182" s="298">
        <v>6173000</v>
      </c>
      <c r="L182" s="293">
        <v>7487000</v>
      </c>
      <c r="M182" s="150"/>
      <c r="N182" s="151"/>
      <c r="O182" s="150"/>
    </row>
    <row r="183" spans="1:15" ht="12.75">
      <c r="A183" s="323" t="s">
        <v>121</v>
      </c>
      <c r="B183" s="298">
        <v>945087</v>
      </c>
      <c r="C183" s="298">
        <v>34131000</v>
      </c>
      <c r="D183" s="293">
        <v>41893000</v>
      </c>
      <c r="E183" s="298">
        <f t="shared" si="19"/>
        <v>7762000</v>
      </c>
      <c r="F183" s="355">
        <f t="shared" si="20"/>
        <v>0.1852815506170482</v>
      </c>
      <c r="G183" s="298">
        <f t="shared" si="21"/>
        <v>44.32713602028173</v>
      </c>
      <c r="I183" s="49"/>
      <c r="J183" s="298">
        <v>945087</v>
      </c>
      <c r="K183" s="298">
        <v>34131000</v>
      </c>
      <c r="L183" s="293">
        <v>41893000</v>
      </c>
      <c r="M183" s="150"/>
      <c r="N183" s="151"/>
      <c r="O183" s="150"/>
    </row>
    <row r="184" spans="1:15" ht="12.75">
      <c r="A184" s="323" t="s">
        <v>72</v>
      </c>
      <c r="B184" s="298">
        <v>513120</v>
      </c>
      <c r="C184" s="298">
        <v>62347000</v>
      </c>
      <c r="D184" s="293">
        <v>67090000</v>
      </c>
      <c r="E184" s="298">
        <f t="shared" si="19"/>
        <v>4743000</v>
      </c>
      <c r="F184" s="355">
        <f t="shared" si="20"/>
        <v>0.07069607989268148</v>
      </c>
      <c r="G184" s="298">
        <f t="shared" si="21"/>
        <v>130.74914250077956</v>
      </c>
      <c r="I184" s="49"/>
      <c r="J184" s="298">
        <v>513120</v>
      </c>
      <c r="K184" s="298">
        <v>62347000</v>
      </c>
      <c r="L184" s="293">
        <v>67090000</v>
      </c>
      <c r="M184" s="150"/>
      <c r="N184" s="151"/>
      <c r="O184" s="150"/>
    </row>
    <row r="185" spans="1:15" ht="12.75">
      <c r="A185" s="321" t="s">
        <v>185</v>
      </c>
      <c r="B185" s="298">
        <v>14874</v>
      </c>
      <c r="C185" s="298">
        <v>815000</v>
      </c>
      <c r="D185" s="293">
        <v>1155000</v>
      </c>
      <c r="E185" s="298">
        <f t="shared" si="19"/>
        <v>340000</v>
      </c>
      <c r="F185" s="355">
        <f t="shared" si="20"/>
        <v>0.2943722943722944</v>
      </c>
      <c r="G185" s="298">
        <f t="shared" si="21"/>
        <v>77.65227914481646</v>
      </c>
      <c r="I185" s="49"/>
      <c r="J185" s="298">
        <v>14874</v>
      </c>
      <c r="K185" s="298">
        <v>815000</v>
      </c>
      <c r="L185" s="293">
        <v>1155000</v>
      </c>
      <c r="M185" s="150"/>
      <c r="N185" s="151"/>
      <c r="O185" s="150"/>
    </row>
    <row r="186" spans="1:15" ht="12.75">
      <c r="A186" s="323" t="s">
        <v>151</v>
      </c>
      <c r="B186" s="298">
        <v>56785</v>
      </c>
      <c r="C186" s="298">
        <v>5247000</v>
      </c>
      <c r="D186" s="293">
        <v>6587000</v>
      </c>
      <c r="E186" s="298">
        <f t="shared" si="19"/>
        <v>1340000</v>
      </c>
      <c r="F186" s="355">
        <f t="shared" si="20"/>
        <v>0.20343100045544255</v>
      </c>
      <c r="G186" s="298">
        <f t="shared" si="21"/>
        <v>115.99894338293564</v>
      </c>
      <c r="I186" s="49"/>
      <c r="J186" s="298">
        <v>56785</v>
      </c>
      <c r="K186" s="298">
        <v>5247000</v>
      </c>
      <c r="L186" s="293">
        <v>6587000</v>
      </c>
      <c r="M186" s="150"/>
      <c r="N186" s="151"/>
      <c r="O186" s="150"/>
    </row>
    <row r="187" spans="1:15" ht="12.75">
      <c r="A187" s="321" t="s">
        <v>178</v>
      </c>
      <c r="B187" s="298">
        <v>747</v>
      </c>
      <c r="C187" s="298">
        <v>99000</v>
      </c>
      <c r="D187" s="293">
        <v>123000</v>
      </c>
      <c r="E187" s="298">
        <f t="shared" si="19"/>
        <v>24000</v>
      </c>
      <c r="F187" s="355">
        <f t="shared" si="20"/>
        <v>0.1951219512195122</v>
      </c>
      <c r="G187" s="298">
        <f t="shared" si="21"/>
        <v>164.6586345381526</v>
      </c>
      <c r="I187" s="49"/>
      <c r="J187" s="298">
        <v>747</v>
      </c>
      <c r="K187" s="298">
        <v>99000</v>
      </c>
      <c r="L187" s="293">
        <v>123000</v>
      </c>
      <c r="M187" s="150"/>
      <c r="N187" s="151"/>
      <c r="O187" s="150"/>
    </row>
    <row r="188" spans="1:15" ht="12.75">
      <c r="A188" s="323" t="s">
        <v>103</v>
      </c>
      <c r="B188" s="298">
        <v>5130</v>
      </c>
      <c r="C188" s="298">
        <v>1295000</v>
      </c>
      <c r="D188" s="293">
        <v>1229000</v>
      </c>
      <c r="E188" s="298">
        <f t="shared" si="19"/>
        <v>-66000</v>
      </c>
      <c r="F188" s="355">
        <f t="shared" si="20"/>
        <v>-0.05370219690805533</v>
      </c>
      <c r="G188" s="298">
        <f t="shared" si="21"/>
        <v>239.57115009746587</v>
      </c>
      <c r="I188" s="49"/>
      <c r="J188" s="298">
        <v>5130</v>
      </c>
      <c r="K188" s="298">
        <v>1295000</v>
      </c>
      <c r="L188" s="293">
        <v>1229000</v>
      </c>
      <c r="M188" s="150"/>
      <c r="N188" s="151"/>
      <c r="O188" s="150"/>
    </row>
    <row r="189" spans="1:15" ht="12.75">
      <c r="A189" s="323" t="s">
        <v>78</v>
      </c>
      <c r="B189" s="298">
        <v>163610</v>
      </c>
      <c r="C189" s="298">
        <v>9452000</v>
      </c>
      <c r="D189" s="293">
        <v>10589000</v>
      </c>
      <c r="E189" s="298">
        <f t="shared" si="19"/>
        <v>1137000</v>
      </c>
      <c r="F189" s="355">
        <f t="shared" si="20"/>
        <v>0.10737557843044669</v>
      </c>
      <c r="G189" s="298">
        <f t="shared" si="21"/>
        <v>64.7209828250107</v>
      </c>
      <c r="I189" s="49"/>
      <c r="J189" s="298">
        <v>163610</v>
      </c>
      <c r="K189" s="298">
        <v>9452000</v>
      </c>
      <c r="L189" s="293">
        <v>10589000</v>
      </c>
      <c r="M189" s="150"/>
      <c r="N189" s="151"/>
      <c r="O189" s="150"/>
    </row>
    <row r="190" spans="1:15" ht="12.75">
      <c r="A190" s="323" t="s">
        <v>81</v>
      </c>
      <c r="B190" s="298">
        <v>783562</v>
      </c>
      <c r="C190" s="298">
        <v>66460000</v>
      </c>
      <c r="D190" s="293">
        <v>77804000</v>
      </c>
      <c r="E190" s="298">
        <f t="shared" si="19"/>
        <v>11344000</v>
      </c>
      <c r="F190" s="355">
        <f t="shared" si="20"/>
        <v>0.14580227237674157</v>
      </c>
      <c r="G190" s="298">
        <f t="shared" si="21"/>
        <v>99.29526955110126</v>
      </c>
      <c r="I190" s="49"/>
      <c r="J190" s="298">
        <v>783562</v>
      </c>
      <c r="K190" s="298">
        <v>66460000</v>
      </c>
      <c r="L190" s="293">
        <v>77804000</v>
      </c>
      <c r="M190" s="150"/>
      <c r="N190" s="151"/>
      <c r="O190" s="150"/>
    </row>
    <row r="191" spans="1:15" ht="12.75">
      <c r="A191" s="323" t="s">
        <v>14</v>
      </c>
      <c r="B191" s="298">
        <v>488100</v>
      </c>
      <c r="C191" s="298">
        <v>4502000</v>
      </c>
      <c r="D191" s="293">
        <v>4941000</v>
      </c>
      <c r="E191" s="298">
        <f t="shared" si="19"/>
        <v>439000</v>
      </c>
      <c r="F191" s="355">
        <f t="shared" si="20"/>
        <v>0.08884841125278284</v>
      </c>
      <c r="G191" s="298">
        <f t="shared" si="21"/>
        <v>10.122925629993853</v>
      </c>
      <c r="I191" s="49"/>
      <c r="J191" s="298">
        <v>488100</v>
      </c>
      <c r="K191" s="298">
        <v>4502000</v>
      </c>
      <c r="L191" s="293">
        <v>4941000</v>
      </c>
      <c r="M191" s="150"/>
      <c r="N191" s="151"/>
      <c r="O191" s="150"/>
    </row>
    <row r="192" spans="1:15" ht="12.75">
      <c r="A192" s="323" t="s">
        <v>115</v>
      </c>
      <c r="B192" s="298">
        <v>241038</v>
      </c>
      <c r="C192" s="298">
        <v>24433000</v>
      </c>
      <c r="D192" s="293">
        <v>33399000</v>
      </c>
      <c r="E192" s="298">
        <f t="shared" si="19"/>
        <v>8966000</v>
      </c>
      <c r="F192" s="355">
        <f t="shared" si="20"/>
        <v>0.2684511512320728</v>
      </c>
      <c r="G192" s="298">
        <f t="shared" si="21"/>
        <v>138.56321409902174</v>
      </c>
      <c r="I192" s="49"/>
      <c r="J192" s="298">
        <v>241038</v>
      </c>
      <c r="K192" s="298">
        <v>24433000</v>
      </c>
      <c r="L192" s="293">
        <v>33399000</v>
      </c>
      <c r="M192" s="150"/>
      <c r="N192" s="151"/>
      <c r="O192" s="150"/>
    </row>
    <row r="193" spans="1:15" ht="12.75">
      <c r="A193" s="323" t="s">
        <v>15</v>
      </c>
      <c r="B193" s="298">
        <v>603500</v>
      </c>
      <c r="C193" s="298">
        <v>48870000</v>
      </c>
      <c r="D193" s="293">
        <v>45416000</v>
      </c>
      <c r="E193" s="298">
        <f t="shared" si="19"/>
        <v>-3454000</v>
      </c>
      <c r="F193" s="355">
        <f t="shared" si="20"/>
        <v>-0.07605249251365158</v>
      </c>
      <c r="G193" s="298">
        <f t="shared" si="21"/>
        <v>75.25434962717482</v>
      </c>
      <c r="I193" s="49"/>
      <c r="J193" s="298">
        <v>603500</v>
      </c>
      <c r="K193" s="298">
        <v>48870000</v>
      </c>
      <c r="L193" s="293">
        <v>45416000</v>
      </c>
      <c r="M193" s="150"/>
      <c r="N193" s="151"/>
      <c r="O193" s="150"/>
    </row>
    <row r="194" spans="1:15" ht="12.75">
      <c r="A194" s="321" t="s">
        <v>145</v>
      </c>
      <c r="B194" s="298">
        <v>83600</v>
      </c>
      <c r="C194" s="298">
        <v>3238000</v>
      </c>
      <c r="D194" s="293">
        <v>4976000</v>
      </c>
      <c r="E194" s="298">
        <f t="shared" si="19"/>
        <v>1738000</v>
      </c>
      <c r="F194" s="355">
        <f t="shared" si="20"/>
        <v>0.3492765273311897</v>
      </c>
      <c r="G194" s="298">
        <f t="shared" si="21"/>
        <v>59.52153110047847</v>
      </c>
      <c r="I194" s="49"/>
      <c r="J194" s="298">
        <v>83600</v>
      </c>
      <c r="K194" s="298">
        <v>3238000</v>
      </c>
      <c r="L194" s="293">
        <v>4976000</v>
      </c>
      <c r="M194" s="150"/>
      <c r="N194" s="151"/>
      <c r="O194" s="150"/>
    </row>
    <row r="195" spans="1:15" ht="12.75">
      <c r="A195" s="323" t="s">
        <v>28</v>
      </c>
      <c r="B195" s="298">
        <v>242900</v>
      </c>
      <c r="C195" s="298">
        <v>58907000</v>
      </c>
      <c r="D195" s="293">
        <v>62613000</v>
      </c>
      <c r="E195" s="298">
        <f t="shared" si="19"/>
        <v>3706000</v>
      </c>
      <c r="F195" s="355">
        <f t="shared" si="20"/>
        <v>0.05918898631274656</v>
      </c>
      <c r="G195" s="298">
        <f t="shared" si="21"/>
        <v>257.77274598600246</v>
      </c>
      <c r="I195" s="49"/>
      <c r="J195" s="298">
        <v>242900</v>
      </c>
      <c r="K195" s="298">
        <v>58907000</v>
      </c>
      <c r="L195" s="293">
        <v>62613000</v>
      </c>
      <c r="M195" s="150"/>
      <c r="N195" s="151"/>
      <c r="O195" s="150"/>
    </row>
    <row r="196" spans="1:15" ht="12.75">
      <c r="A196" s="323" t="s">
        <v>86</v>
      </c>
      <c r="B196" s="298">
        <v>176215</v>
      </c>
      <c r="C196" s="357">
        <v>3321000</v>
      </c>
      <c r="D196" s="298">
        <v>3510000</v>
      </c>
      <c r="E196" s="298">
        <f t="shared" si="19"/>
        <v>189000</v>
      </c>
      <c r="F196" s="355">
        <f t="shared" si="20"/>
        <v>0.05384615384615385</v>
      </c>
      <c r="G196" s="298">
        <f t="shared" si="21"/>
        <v>19.918849133161196</v>
      </c>
      <c r="I196" s="49"/>
      <c r="J196" s="298">
        <v>176215</v>
      </c>
      <c r="K196" s="357">
        <v>3321000</v>
      </c>
      <c r="L196" s="298">
        <v>3510000</v>
      </c>
      <c r="M196" s="150"/>
      <c r="N196" s="151"/>
      <c r="O196" s="150"/>
    </row>
    <row r="197" spans="1:15" ht="12.75">
      <c r="A197" s="321" t="s">
        <v>241</v>
      </c>
      <c r="B197" s="298">
        <v>9629091</v>
      </c>
      <c r="C197" s="357">
        <v>287842000</v>
      </c>
      <c r="D197" s="298">
        <v>310233000</v>
      </c>
      <c r="E197" s="298">
        <f t="shared" si="19"/>
        <v>22391000</v>
      </c>
      <c r="F197" s="355">
        <f t="shared" si="20"/>
        <v>0.07217478475855245</v>
      </c>
      <c r="G197" s="298">
        <f t="shared" si="21"/>
        <v>32.218305964706325</v>
      </c>
      <c r="I197" s="49"/>
      <c r="J197" s="298">
        <v>9629091</v>
      </c>
      <c r="K197" s="357">
        <v>287842000</v>
      </c>
      <c r="L197" s="298">
        <v>310233000</v>
      </c>
      <c r="M197" s="150"/>
      <c r="N197" s="151"/>
      <c r="O197" s="150"/>
    </row>
    <row r="198" spans="1:15" ht="12.75">
      <c r="A198" s="323" t="s">
        <v>138</v>
      </c>
      <c r="B198" s="298">
        <v>447400</v>
      </c>
      <c r="C198" s="298">
        <v>24776000</v>
      </c>
      <c r="D198" s="293">
        <v>27866000</v>
      </c>
      <c r="E198" s="298">
        <f t="shared" si="19"/>
        <v>3090000</v>
      </c>
      <c r="F198" s="355">
        <f t="shared" si="20"/>
        <v>0.11088782028278188</v>
      </c>
      <c r="G198" s="298">
        <f t="shared" si="21"/>
        <v>62.28430934286992</v>
      </c>
      <c r="I198" s="49"/>
      <c r="J198" s="298">
        <v>447400</v>
      </c>
      <c r="K198" s="298">
        <v>24776000</v>
      </c>
      <c r="L198" s="293">
        <v>27866000</v>
      </c>
      <c r="M198" s="150"/>
      <c r="N198" s="151"/>
      <c r="O198" s="150"/>
    </row>
    <row r="199" spans="1:15" ht="12.75">
      <c r="A199" s="321" t="s">
        <v>182</v>
      </c>
      <c r="B199" s="298">
        <v>12189</v>
      </c>
      <c r="C199" s="298">
        <v>190000</v>
      </c>
      <c r="D199" s="293">
        <v>222000</v>
      </c>
      <c r="E199" s="298">
        <f t="shared" si="19"/>
        <v>32000</v>
      </c>
      <c r="F199" s="355">
        <f t="shared" si="20"/>
        <v>0.14414414414414414</v>
      </c>
      <c r="G199" s="298">
        <f t="shared" si="21"/>
        <v>18.21314299778489</v>
      </c>
      <c r="I199" s="49"/>
      <c r="J199" s="298">
        <v>12189</v>
      </c>
      <c r="K199" s="298">
        <v>190000</v>
      </c>
      <c r="L199" s="293">
        <v>222000</v>
      </c>
      <c r="M199" s="150"/>
      <c r="N199" s="151"/>
      <c r="O199" s="150"/>
    </row>
    <row r="200" spans="1:15" ht="12.75">
      <c r="A200" s="323" t="s">
        <v>70</v>
      </c>
      <c r="B200" s="298">
        <v>912050</v>
      </c>
      <c r="C200" s="298">
        <v>24408000</v>
      </c>
      <c r="D200" s="293">
        <v>27223000</v>
      </c>
      <c r="E200" s="298">
        <f t="shared" si="19"/>
        <v>2815000</v>
      </c>
      <c r="F200" s="355">
        <f t="shared" si="20"/>
        <v>0.1034052088307681</v>
      </c>
      <c r="G200" s="298">
        <f t="shared" si="21"/>
        <v>29.84814429033496</v>
      </c>
      <c r="I200" s="49"/>
      <c r="J200" s="298">
        <v>912050</v>
      </c>
      <c r="K200" s="298">
        <v>24408000</v>
      </c>
      <c r="L200" s="293">
        <v>27223000</v>
      </c>
      <c r="M200" s="150"/>
      <c r="N200" s="151"/>
      <c r="O200" s="150"/>
    </row>
    <row r="201" spans="1:15" ht="12.75">
      <c r="A201" s="323" t="s">
        <v>205</v>
      </c>
      <c r="B201" s="298">
        <v>331689</v>
      </c>
      <c r="C201" s="298">
        <v>78663000</v>
      </c>
      <c r="D201" s="293">
        <v>89571000</v>
      </c>
      <c r="E201" s="298">
        <f t="shared" si="19"/>
        <v>10908000</v>
      </c>
      <c r="F201" s="355">
        <f t="shared" si="20"/>
        <v>0.12178048698797601</v>
      </c>
      <c r="G201" s="298">
        <f t="shared" si="21"/>
        <v>270.0451326393097</v>
      </c>
      <c r="I201" s="49"/>
      <c r="J201" s="298">
        <v>331689</v>
      </c>
      <c r="K201" s="298">
        <v>78663000</v>
      </c>
      <c r="L201" s="293">
        <v>89571000</v>
      </c>
      <c r="M201" s="150"/>
      <c r="N201" s="151"/>
      <c r="O201" s="150"/>
    </row>
    <row r="202" spans="1:15" ht="12.75">
      <c r="A202" s="321" t="s">
        <v>181</v>
      </c>
      <c r="B202" s="298">
        <v>266000</v>
      </c>
      <c r="C202" s="298">
        <v>315000</v>
      </c>
      <c r="D202" s="293">
        <v>492000</v>
      </c>
      <c r="E202" s="298">
        <f t="shared" si="19"/>
        <v>177000</v>
      </c>
      <c r="F202" s="355">
        <f t="shared" si="20"/>
        <v>0.3597560975609756</v>
      </c>
      <c r="G202" s="298">
        <f t="shared" si="21"/>
        <v>1.849624060150376</v>
      </c>
      <c r="I202" s="49"/>
      <c r="J202" s="298">
        <v>266000</v>
      </c>
      <c r="K202" s="298">
        <v>315000</v>
      </c>
      <c r="L202" s="293">
        <v>492000</v>
      </c>
      <c r="M202" s="150"/>
      <c r="N202" s="151"/>
      <c r="O202" s="150"/>
    </row>
    <row r="203" spans="1:15" ht="12.75">
      <c r="A203" s="323" t="s">
        <v>119</v>
      </c>
      <c r="B203" s="298">
        <v>527968</v>
      </c>
      <c r="C203" s="298">
        <v>18182000</v>
      </c>
      <c r="D203" s="293">
        <v>23495000</v>
      </c>
      <c r="E203" s="298">
        <f t="shared" si="19"/>
        <v>5313000</v>
      </c>
      <c r="F203" s="355">
        <f t="shared" si="20"/>
        <v>0.22613321983400725</v>
      </c>
      <c r="G203" s="298">
        <f t="shared" si="21"/>
        <v>44.500803078974485</v>
      </c>
      <c r="I203" s="49"/>
      <c r="J203" s="298">
        <v>527968</v>
      </c>
      <c r="K203" s="298">
        <v>18182000</v>
      </c>
      <c r="L203" s="293">
        <v>23495000</v>
      </c>
      <c r="M203" s="150"/>
      <c r="N203" s="151"/>
      <c r="O203" s="150"/>
    </row>
    <row r="204" spans="1:15" ht="12.75">
      <c r="A204" s="323" t="s">
        <v>125</v>
      </c>
      <c r="B204" s="298">
        <v>752618</v>
      </c>
      <c r="C204" s="298">
        <v>10467000</v>
      </c>
      <c r="D204" s="293">
        <v>13460000</v>
      </c>
      <c r="E204" s="298">
        <f t="shared" si="19"/>
        <v>2993000</v>
      </c>
      <c r="F204" s="355">
        <f t="shared" si="20"/>
        <v>0.22236255572065378</v>
      </c>
      <c r="G204" s="298">
        <f t="shared" si="21"/>
        <v>17.884238750601234</v>
      </c>
      <c r="I204" s="49"/>
      <c r="J204" s="298">
        <v>752618</v>
      </c>
      <c r="K204" s="298">
        <v>10467000</v>
      </c>
      <c r="L204" s="293">
        <v>13460000</v>
      </c>
      <c r="M204" s="150"/>
      <c r="N204" s="151"/>
      <c r="O204" s="150"/>
    </row>
    <row r="205" spans="1:15" ht="12.75">
      <c r="A205" s="323" t="s">
        <v>122</v>
      </c>
      <c r="B205" s="298">
        <v>390757</v>
      </c>
      <c r="C205" s="298">
        <v>12455000</v>
      </c>
      <c r="D205" s="293">
        <v>11652000</v>
      </c>
      <c r="E205" s="298">
        <f t="shared" si="19"/>
        <v>-803000</v>
      </c>
      <c r="F205" s="355">
        <f t="shared" si="20"/>
        <v>-0.06891520768966701</v>
      </c>
      <c r="G205" s="298">
        <f t="shared" si="21"/>
        <v>29.81904354880399</v>
      </c>
      <c r="I205" s="49"/>
      <c r="J205" s="298">
        <v>390757</v>
      </c>
      <c r="K205" s="298">
        <v>12455000</v>
      </c>
      <c r="L205" s="293">
        <v>11652000</v>
      </c>
      <c r="M205" s="150"/>
      <c r="N205" s="151"/>
      <c r="O205" s="150"/>
    </row>
    <row r="206" spans="1:15" ht="12.75">
      <c r="A206" s="323" t="s">
        <v>408</v>
      </c>
      <c r="B206" s="298">
        <v>135887004.8</v>
      </c>
      <c r="C206" s="298">
        <v>6117414000</v>
      </c>
      <c r="D206" s="293">
        <v>6832452000</v>
      </c>
      <c r="E206" s="298">
        <f t="shared" si="19"/>
        <v>715038000</v>
      </c>
      <c r="F206" s="355">
        <f t="shared" si="20"/>
        <v>0.10465320502800458</v>
      </c>
      <c r="G206" s="298">
        <f t="shared" si="21"/>
        <v>50.28039296366917</v>
      </c>
      <c r="I206" s="49"/>
      <c r="J206" s="199">
        <f>SUM(J7:J205)</f>
        <v>135887004.8</v>
      </c>
      <c r="K206" s="199">
        <f>SUM(K7:K205)</f>
        <v>6117414000</v>
      </c>
      <c r="L206" s="199">
        <f>SUM(L7:L205)</f>
        <v>6832452000</v>
      </c>
      <c r="N206" s="151"/>
      <c r="O206" s="150"/>
    </row>
    <row r="207" spans="8:12" ht="12.75">
      <c r="H207" s="31"/>
      <c r="I207" s="31"/>
      <c r="J207" s="31"/>
      <c r="K207" s="5"/>
      <c r="L207" s="198"/>
    </row>
  </sheetData>
  <sheetProtection/>
  <hyperlinks>
    <hyperlink ref="A3" r:id="rId1" display="Kilder"/>
  </hyperlinks>
  <printOptions/>
  <pageMargins left="0.75" right="0.75" top="1" bottom="1" header="0" footer="0"/>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2010-02-07T13:55:33Z</cp:lastPrinted>
  <dcterms:created xsi:type="dcterms:W3CDTF">1996-11-12T13:28:11Z</dcterms:created>
  <dcterms:modified xsi:type="dcterms:W3CDTF">2012-06-20T13:42:22Z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